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defaultThemeVersion="166925"/>
  <mc:AlternateContent xmlns:mc="http://schemas.openxmlformats.org/markup-compatibility/2006">
    <mc:Choice Requires="x15">
      <x15ac:absPath xmlns:x15ac="http://schemas.microsoft.com/office/spreadsheetml/2010/11/ac" url="F:\S2 UPN VETERAN JKT\TESIS RFB\# KERJAKAN CEPAT HARDDDDDDD\"/>
    </mc:Choice>
  </mc:AlternateContent>
  <xr:revisionPtr revIDLastSave="0" documentId="13_ncr:1_{B0EBECE2-DA3E-4A1B-B7F1-D9A2DB207ADC}" xr6:coauthVersionLast="46" xr6:coauthVersionMax="46" xr10:uidLastSave="{00000000-0000-0000-0000-000000000000}"/>
  <bookViews>
    <workbookView xWindow="-120" yWindow="-120" windowWidth="20730" windowHeight="11160" firstSheet="14" activeTab="16" xr2:uid="{00000000-000D-0000-FFFF-FFFF00000000}"/>
  </bookViews>
  <sheets>
    <sheet name="Well Completion SN-2600" sheetId="21" r:id="rId1"/>
    <sheet name="Evaluasi ESP" sheetId="1" r:id="rId2"/>
    <sheet name="IPR" sheetId="2" r:id="rId3"/>
    <sheet name="Gas Calculation " sheetId="14" r:id="rId4"/>
    <sheet name="Pump Sizing" sheetId="15" r:id="rId5"/>
    <sheet name="Optimasi Stage" sheetId="3" r:id="rId6"/>
    <sheet name="Nodal" sheetId="4" state="hidden" r:id="rId7"/>
    <sheet name="Optimasi Frekuensi 1" sheetId="16" r:id="rId8"/>
    <sheet name="Optimasi Frekuensi (P3)" sheetId="11" r:id="rId9"/>
    <sheet name="Frekuensi dulu" sheetId="5" state="hidden" r:id="rId10"/>
    <sheet name="Kurva Frekuensi" sheetId="6" state="hidden" r:id="rId11"/>
    <sheet name="SV Calculation" sheetId="17" r:id="rId12"/>
    <sheet name="Transformer Calculation" sheetId="18" r:id="rId13"/>
    <sheet name="VSD Calculation" sheetId="20" r:id="rId14"/>
    <sheet name="Hasil Perbandingan" sheetId="8" r:id="rId15"/>
    <sheet name="Re-design" sheetId="22" r:id="rId16"/>
    <sheet name="Analisa Ekonomi (Daqing)" sheetId="23" r:id="rId17"/>
    <sheet name="Analisa Ekonomi (Reda)" sheetId="24"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0">[1]General!#REF!</definedName>
    <definedName name="_Fill" hidden="1">[2]Sch19!#REF!</definedName>
    <definedName name="_Order1" hidden="1">255</definedName>
    <definedName name="a">#REF!</definedName>
    <definedName name="AA">#REF!</definedName>
    <definedName name="AAA">#REF!</definedName>
    <definedName name="b">#REF!</definedName>
    <definedName name="BHFP">'[3]Friction 2 Strings'!$C$14</definedName>
    <definedName name="bhp">'[3]Friction 2 Strings'!$C$5</definedName>
    <definedName name="CC">#REF!</definedName>
    <definedName name="CCC">#REF!</definedName>
    <definedName name="CutClay">30</definedName>
    <definedName name="CutPor">15</definedName>
    <definedName name="CutSw">70</definedName>
    <definedName name="DD">#REF!</definedName>
    <definedName name="deg">#REF!</definedName>
    <definedName name="Dodol">#REF!</definedName>
    <definedName name="Excel_BuiltIn_Print_Area_0___0___0___0">#REF!</definedName>
    <definedName name="Excel_BuiltIn_Print_Area_0___0___0___0___0">#REF!</definedName>
    <definedName name="FG">'[3]Friction 2 Strings'!#REF!</definedName>
    <definedName name="FieldListrows">[4]FIELDLIST!$AB$1</definedName>
    <definedName name="FlDen">0.97</definedName>
    <definedName name="FlDt">190</definedName>
    <definedName name="fnwo">#REF!</definedName>
    <definedName name="fr">#REF!</definedName>
    <definedName name="ftmtrs">#REF!</definedName>
    <definedName name="H">'[3]Friction 2 Strings'!$C$7</definedName>
    <definedName name="K">'[3]Friction 2 Strings'!$C$6</definedName>
    <definedName name="ListNames">#REF!</definedName>
    <definedName name="LUSN">#REF!</definedName>
    <definedName name="M">#REF!</definedName>
    <definedName name="Oldready">#REF!</definedName>
    <definedName name="P">#REF!</definedName>
    <definedName name="PAGE1">#REF!</definedName>
    <definedName name="PAGE2">#REF!</definedName>
    <definedName name="pi">3.14159265</definedName>
    <definedName name="pird">3.14159265/180</definedName>
    <definedName name="pressure">'[3]Post Job Data'!$J$32</definedName>
    <definedName name="_xlnm.Print_Area" localSheetId="16">'Analisa Ekonomi (Daqing)'!$A$1:$L$43</definedName>
    <definedName name="_xlnm.Print_Area" localSheetId="17">'Analisa Ekonomi (Reda)'!$A$1:$L$43</definedName>
    <definedName name="_xlnm.Print_Area" localSheetId="3">'Gas Calculation '!$A$1:$G$74</definedName>
    <definedName name="_xlnm.Print_Area" localSheetId="4">'Pump Sizing'!$A$1:$F$66</definedName>
    <definedName name="_xlnm.Print_Area" localSheetId="15">'Re-design'!$A$1:$N$91</definedName>
    <definedName name="_xlnm.Print_Area" localSheetId="11">'SV Calculation'!$A$1:$U$66</definedName>
    <definedName name="Print_Area_MI">#REF!</definedName>
    <definedName name="_xlnm.Print_Titles">#REF!,#REF!</definedName>
    <definedName name="PROJAZI">#REF!</definedName>
    <definedName name="rad">#REF!</definedName>
    <definedName name="rate">'[3]Post Job Data'!$J$29</definedName>
    <definedName name="Re">'[3]Friction 2 Strings'!$C$8</definedName>
    <definedName name="ready">#REF!</definedName>
    <definedName name="Rw">'[3]Friction 2 Strings'!#REF!</definedName>
    <definedName name="S">#REF!</definedName>
    <definedName name="saveWOfile">#REF!</definedName>
    <definedName name="SDGDFG">#REF!</definedName>
    <definedName name="SNSKD">[5]INSTALLATION!#REF!</definedName>
    <definedName name="SNSWB">[5]INSTALLATION!#REF!</definedName>
    <definedName name="SNTVS">[5]INSTALLATION!#REF!</definedName>
    <definedName name="SNVSD">[5]INSTALLATION!#REF!</definedName>
    <definedName name="Swm">1.87</definedName>
    <definedName name="Swn">1.87</definedName>
    <definedName name="TIPE">#REF!</definedName>
    <definedName name="TIPN">#REF!</definedName>
    <definedName name="tvd">'[3]Friction 2 Strings'!$C$4</definedName>
    <definedName name="TZ">[1]General!#REF!</definedName>
    <definedName name="u">'[3]Friction 2 Strings'!$C$10</definedName>
    <definedName name="WODirWO">#REF!</definedName>
    <definedName name="WOFieldListrows">#REF!</definedName>
    <definedName name="WOPFROWNO">#REF!</definedName>
    <definedName name="WOROWNO">#REF!</definedName>
    <definedName name="WOSUBTOTAL">#REF!</definedName>
    <definedName name="WOUNHIDECOLUMN">#REF!</definedName>
    <definedName name="wrn.Wellplan." localSheetId="16" hidden="1">{#N/A,#N/A,TRUE,"AFE";#N/A,#N/A,TRUE,"Tangible";#N/A,#N/A,TRUE,"Construction";#N/A,#N/A,TRUE,"Rignmud";#N/A,#N/A,TRUE,"Bitnddr";#N/A,#N/A,TRUE,"Cmtdesign";#N/A,#N/A,TRUE,"Pumpfee";#N/A,#N/A,TRUE,"Corendst";#N/A,#N/A,TRUE,"Ohlogging";#N/A,#N/A,TRUE,"Perforating";#N/A,#N/A,TRUE,"Chlogging";#N/A,#N/A,TRUE,"Stimulation";#N/A,#N/A,TRUE,"Completion";#N/A,#N/A,TRUE,"General"}</definedName>
    <definedName name="wrn.Wellplan." localSheetId="17" hidden="1">{#N/A,#N/A,TRUE,"AFE";#N/A,#N/A,TRUE,"Tangible";#N/A,#N/A,TRUE,"Construction";#N/A,#N/A,TRUE,"Rignmud";#N/A,#N/A,TRUE,"Bitnddr";#N/A,#N/A,TRUE,"Cmtdesign";#N/A,#N/A,TRUE,"Pumpfee";#N/A,#N/A,TRUE,"Corendst";#N/A,#N/A,TRUE,"Ohlogging";#N/A,#N/A,TRUE,"Perforating";#N/A,#N/A,TRUE,"Chlogging";#N/A,#N/A,TRUE,"Stimulation";#N/A,#N/A,TRUE,"Completion";#N/A,#N/A,TRUE,"General"}</definedName>
    <definedName name="wrn.Wellplan." hidden="1">{#N/A,#N/A,TRUE,"AFE";#N/A,#N/A,TRUE,"Tangible";#N/A,#N/A,TRUE,"Construction";#N/A,#N/A,TRUE,"Rignmud";#N/A,#N/A,TRUE,"Bitnddr";#N/A,#N/A,TRUE,"Cmtdesign";#N/A,#N/A,TRUE,"Pumpfee";#N/A,#N/A,TRUE,"Corendst";#N/A,#N/A,TRUE,"Ohlogging";#N/A,#N/A,TRUE,"Perforating";#N/A,#N/A,TRUE,"Chlogging";#N/A,#N/A,TRUE,"Stimulation";#N/A,#N/A,TRUE,"Completion";#N/A,#N/A,TRUE,"General"}</definedName>
    <definedName name="wrn.wellplan1." localSheetId="16" hidden="1">{#N/A,#N/A,TRUE,"AFE";#N/A,#N/A,TRUE,"Tangible";#N/A,#N/A,TRUE,"Construction";#N/A,#N/A,TRUE,"Rignmud";#N/A,#N/A,TRUE,"Bitnddr";#N/A,#N/A,TRUE,"Cmtdesign";#N/A,#N/A,TRUE,"Pumpfee";#N/A,#N/A,TRUE,"Corendst";#N/A,#N/A,TRUE,"Ohlogging";#N/A,#N/A,TRUE,"Perforating";#N/A,#N/A,TRUE,"Chlogging";#N/A,#N/A,TRUE,"Stimulation";#N/A,#N/A,TRUE,"Completion";#N/A,#N/A,TRUE,"General"}</definedName>
    <definedName name="wrn.wellplan1." localSheetId="17" hidden="1">{#N/A,#N/A,TRUE,"AFE";#N/A,#N/A,TRUE,"Tangible";#N/A,#N/A,TRUE,"Construction";#N/A,#N/A,TRUE,"Rignmud";#N/A,#N/A,TRUE,"Bitnddr";#N/A,#N/A,TRUE,"Cmtdesign";#N/A,#N/A,TRUE,"Pumpfee";#N/A,#N/A,TRUE,"Corendst";#N/A,#N/A,TRUE,"Ohlogging";#N/A,#N/A,TRUE,"Perforating";#N/A,#N/A,TRUE,"Chlogging";#N/A,#N/A,TRUE,"Stimulation";#N/A,#N/A,TRUE,"Completion";#N/A,#N/A,TRUE,"General"}</definedName>
    <definedName name="wrn.wellplan1." hidden="1">{#N/A,#N/A,TRUE,"AFE";#N/A,#N/A,TRUE,"Tangible";#N/A,#N/A,TRUE,"Construction";#N/A,#N/A,TRUE,"Rignmud";#N/A,#N/A,TRUE,"Bitnddr";#N/A,#N/A,TRUE,"Cmtdesign";#N/A,#N/A,TRUE,"Pumpfee";#N/A,#N/A,TRUE,"Corendst";#N/A,#N/A,TRUE,"Ohlogging";#N/A,#N/A,TRUE,"Perforating";#N/A,#N/A,TRUE,"Chlogging";#N/A,#N/A,TRUE,"Stimulation";#N/A,#N/A,TRUE,"Completion";#N/A,#N/A,TRUE,"General"}</definedName>
    <definedName name="ZA">[1]General!#REF!</definedName>
    <definedName name="Zone">"u"</definedName>
    <definedName name="Zone_Exclude">#REF!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9" i="17" l="1"/>
  <c r="B5" i="18" l="1"/>
  <c r="E27" i="20"/>
  <c r="O47" i="17"/>
  <c r="F12" i="17"/>
  <c r="K12" i="24"/>
  <c r="J12" i="24"/>
  <c r="I12" i="24"/>
  <c r="G18" i="24"/>
  <c r="G13" i="24"/>
  <c r="H18" i="24"/>
  <c r="H13" i="24"/>
  <c r="H14" i="24"/>
  <c r="H15" i="24"/>
  <c r="H16" i="24"/>
  <c r="H17" i="24"/>
  <c r="G17" i="24" l="1"/>
  <c r="G16" i="24"/>
  <c r="G15" i="24"/>
  <c r="G14" i="24"/>
  <c r="F13" i="24"/>
  <c r="F14" i="24" s="1"/>
  <c r="F15" i="24" s="1"/>
  <c r="F16" i="24" l="1"/>
  <c r="F17" i="24" s="1"/>
  <c r="H17" i="23"/>
  <c r="G17" i="23"/>
  <c r="H16" i="23"/>
  <c r="G16" i="23"/>
  <c r="H15" i="23"/>
  <c r="G15" i="23"/>
  <c r="H14" i="23"/>
  <c r="G14" i="23"/>
  <c r="H13" i="23"/>
  <c r="H18" i="23" s="1"/>
  <c r="G13" i="23"/>
  <c r="G18" i="23" s="1"/>
  <c r="F13" i="23"/>
  <c r="F14" i="23" s="1"/>
  <c r="F15" i="23" s="1"/>
  <c r="D82" i="22"/>
  <c r="M82" i="22" s="1"/>
  <c r="I79" i="22"/>
  <c r="E79" i="22"/>
  <c r="D79" i="22"/>
  <c r="C79" i="22"/>
  <c r="B79" i="22"/>
  <c r="A79" i="22"/>
  <c r="C77" i="22"/>
  <c r="N69" i="22"/>
  <c r="I69" i="22"/>
  <c r="H69" i="22"/>
  <c r="G69" i="22"/>
  <c r="F69" i="22"/>
  <c r="E69" i="22"/>
  <c r="D69" i="22"/>
  <c r="C69" i="22"/>
  <c r="B69" i="22"/>
  <c r="M69" i="22" s="1"/>
  <c r="N66" i="22"/>
  <c r="I66" i="22"/>
  <c r="H66" i="22"/>
  <c r="G66" i="22"/>
  <c r="F66" i="22"/>
  <c r="E66" i="22"/>
  <c r="D66" i="22"/>
  <c r="C66" i="22"/>
  <c r="B66" i="22"/>
  <c r="M66" i="22" s="1"/>
  <c r="I63" i="22"/>
  <c r="C63" i="22"/>
  <c r="N49" i="22"/>
  <c r="I49" i="22"/>
  <c r="C49" i="22"/>
  <c r="B49" i="22"/>
  <c r="M49" i="22" s="1"/>
  <c r="A49" i="22"/>
  <c r="L49" i="22" s="1"/>
  <c r="N44" i="22"/>
  <c r="I44" i="22"/>
  <c r="C44" i="22"/>
  <c r="B44" i="22"/>
  <c r="M44" i="22" s="1"/>
  <c r="A44" i="22"/>
  <c r="L44" i="22" s="1"/>
  <c r="N36" i="22"/>
  <c r="I36" i="22"/>
  <c r="F36" i="22"/>
  <c r="E36" i="22"/>
  <c r="D36" i="22"/>
  <c r="C36" i="22"/>
  <c r="B36" i="22"/>
  <c r="M36" i="22" s="1"/>
  <c r="A36" i="22"/>
  <c r="L36" i="22" s="1"/>
  <c r="N28" i="22"/>
  <c r="I28" i="22"/>
  <c r="F28" i="22"/>
  <c r="E28" i="22"/>
  <c r="D28" i="22"/>
  <c r="C28" i="22"/>
  <c r="B28" i="22"/>
  <c r="M28" i="22" s="1"/>
  <c r="A28" i="22"/>
  <c r="L28" i="22" s="1"/>
  <c r="B26" i="22"/>
  <c r="M26" i="22" s="1"/>
  <c r="N24" i="22"/>
  <c r="I24" i="22"/>
  <c r="C24" i="22"/>
  <c r="B20" i="22"/>
  <c r="B19" i="22"/>
  <c r="I16" i="22"/>
  <c r="D16" i="22"/>
  <c r="C16" i="22"/>
  <c r="B16" i="22"/>
  <c r="I15" i="22"/>
  <c r="B15" i="22"/>
  <c r="A15" i="22"/>
  <c r="I14" i="22"/>
  <c r="D14" i="22"/>
  <c r="I13" i="22"/>
  <c r="D13" i="22"/>
  <c r="I12" i="22"/>
  <c r="D12" i="22"/>
  <c r="B8" i="22"/>
  <c r="E7" i="22"/>
  <c r="B7" i="22"/>
  <c r="M63" i="22" l="1"/>
  <c r="N63" i="22" s="1"/>
  <c r="N85" i="22" s="1"/>
  <c r="K12" i="23"/>
  <c r="F16" i="23"/>
  <c r="F17" i="23" s="1"/>
  <c r="J12" i="23"/>
  <c r="I12" i="23"/>
  <c r="G15" i="20" l="1"/>
  <c r="D36" i="20"/>
  <c r="D31" i="20"/>
  <c r="N23" i="18"/>
  <c r="G13" i="18"/>
  <c r="F13" i="18"/>
  <c r="D13" i="18"/>
  <c r="C41" i="15" l="1"/>
  <c r="P35" i="3"/>
  <c r="I36" i="11"/>
  <c r="I37" i="11"/>
  <c r="I38" i="11"/>
  <c r="I39" i="11"/>
  <c r="I35" i="11"/>
  <c r="J35" i="11"/>
  <c r="K5" i="16"/>
  <c r="K6" i="16"/>
  <c r="K7" i="16"/>
  <c r="K8" i="16"/>
  <c r="K9" i="16"/>
  <c r="K11" i="16"/>
  <c r="K4" i="16"/>
  <c r="J4" i="16"/>
  <c r="N35" i="3" l="1"/>
  <c r="J5" i="20"/>
  <c r="G37" i="3" l="1"/>
  <c r="I37" i="3" l="1"/>
  <c r="H37" i="3"/>
  <c r="K36" i="21"/>
  <c r="K24" i="21"/>
  <c r="K21" i="21"/>
  <c r="K39" i="21"/>
  <c r="K52" i="21" s="1"/>
  <c r="K28" i="21"/>
  <c r="K26" i="21"/>
  <c r="A6" i="21"/>
  <c r="F19" i="20" l="1"/>
  <c r="K19" i="20" s="1"/>
  <c r="E10" i="20" s="1"/>
  <c r="H10" i="20" s="1"/>
  <c r="H11" i="20"/>
  <c r="G23" i="20" s="1"/>
  <c r="C38" i="20"/>
  <c r="C37" i="20"/>
  <c r="C33" i="20"/>
  <c r="B27" i="20"/>
  <c r="E23" i="20"/>
  <c r="L5" i="20"/>
  <c r="D19" i="20" s="1"/>
  <c r="C38" i="18"/>
  <c r="C36" i="18"/>
  <c r="D32" i="18"/>
  <c r="N24" i="18"/>
  <c r="O24" i="18" s="1"/>
  <c r="E21" i="18"/>
  <c r="C14" i="18"/>
  <c r="B14" i="18"/>
  <c r="A14" i="18"/>
  <c r="C5" i="18"/>
  <c r="F63" i="17"/>
  <c r="F58" i="17"/>
  <c r="L41" i="17"/>
  <c r="B38" i="17"/>
  <c r="J35" i="17"/>
  <c r="B35" i="17"/>
  <c r="F26" i="17"/>
  <c r="B32" i="17" s="1"/>
  <c r="F25" i="17"/>
  <c r="A23" i="17"/>
  <c r="F18" i="17"/>
  <c r="K41" i="17" s="1"/>
  <c r="F16" i="17"/>
  <c r="F35" i="17" s="1"/>
  <c r="F38" i="17" s="1"/>
  <c r="F15" i="17"/>
  <c r="F13" i="17"/>
  <c r="F10" i="17"/>
  <c r="T8" i="17"/>
  <c r="C8" i="17"/>
  <c r="T7" i="17"/>
  <c r="C7" i="17"/>
  <c r="Q15" i="16"/>
  <c r="I15" i="16"/>
  <c r="I14" i="16"/>
  <c r="C11" i="16"/>
  <c r="C15" i="16" s="1"/>
  <c r="C16" i="16" s="1"/>
  <c r="J9" i="16"/>
  <c r="I9" i="16"/>
  <c r="C9" i="16"/>
  <c r="J8" i="16"/>
  <c r="I8" i="16"/>
  <c r="J7" i="16"/>
  <c r="I7" i="16"/>
  <c r="C7" i="16"/>
  <c r="C8" i="16" s="1"/>
  <c r="J6" i="16"/>
  <c r="I6" i="16"/>
  <c r="J5" i="16"/>
  <c r="I5" i="16"/>
  <c r="I4" i="16"/>
  <c r="J3" i="16"/>
  <c r="I3" i="16"/>
  <c r="H3" i="16"/>
  <c r="O38" i="17" l="1"/>
  <c r="H41" i="17" s="1"/>
  <c r="D14" i="18"/>
  <c r="O35" i="17"/>
  <c r="D41" i="17" s="1"/>
  <c r="F32" i="17"/>
  <c r="O32" i="17" s="1"/>
  <c r="A41" i="17" s="1"/>
  <c r="F14" i="18"/>
  <c r="E13" i="18"/>
  <c r="D20" i="20"/>
  <c r="E15" i="20"/>
  <c r="E14" i="18"/>
  <c r="G14" i="18"/>
  <c r="H30" i="11"/>
  <c r="C37" i="15"/>
  <c r="C39" i="15" s="1"/>
  <c r="C36" i="15"/>
  <c r="E25" i="15" s="1"/>
  <c r="E23" i="15"/>
  <c r="E22" i="15"/>
  <c r="E26" i="15" s="1"/>
  <c r="E20" i="15"/>
  <c r="B24" i="14"/>
  <c r="B18" i="14"/>
  <c r="C14" i="14"/>
  <c r="F11" i="14"/>
  <c r="E18" i="14" s="1"/>
  <c r="E11" i="14"/>
  <c r="C11" i="14"/>
  <c r="B11" i="14"/>
  <c r="A11" i="14"/>
  <c r="G18" i="14" s="1"/>
  <c r="G6" i="14"/>
  <c r="H30" i="1"/>
  <c r="H31" i="1"/>
  <c r="O41" i="17" l="1"/>
  <c r="L45" i="17" s="1"/>
  <c r="G14" i="14"/>
  <c r="E28" i="14"/>
  <c r="E24" i="15"/>
  <c r="E27" i="15" s="1"/>
  <c r="E29" i="15" s="1"/>
  <c r="E32" i="15" s="1"/>
  <c r="E20" i="14"/>
  <c r="E24" i="14" s="1"/>
  <c r="G24" i="14" s="1"/>
  <c r="E26" i="14" s="1"/>
  <c r="B37" i="14" s="1"/>
  <c r="B49" i="14"/>
  <c r="M52" i="17" l="1"/>
  <c r="B31" i="14"/>
  <c r="B34" i="14" s="1"/>
  <c r="B40" i="14" s="1"/>
  <c r="B43" i="14" s="1"/>
  <c r="B51" i="14" s="1"/>
  <c r="I35" i="3"/>
  <c r="F19" i="11"/>
  <c r="G35" i="3"/>
  <c r="G35" i="11" l="1"/>
  <c r="H35" i="11" s="1"/>
  <c r="G37" i="11"/>
  <c r="H37" i="11" s="1"/>
  <c r="B46" i="14"/>
  <c r="B56" i="14"/>
  <c r="G39" i="11"/>
  <c r="H39" i="11" s="1"/>
  <c r="G38" i="11"/>
  <c r="H38" i="11" s="1"/>
  <c r="G36" i="11"/>
  <c r="H36" i="11" s="1"/>
  <c r="B67" i="14" l="1"/>
  <c r="B61" i="14"/>
  <c r="F56" i="14"/>
  <c r="B58" i="14" s="1"/>
  <c r="F24" i="11"/>
  <c r="B63" i="14" l="1"/>
  <c r="B72" i="14"/>
  <c r="F67" i="14"/>
  <c r="B69" i="14" s="1"/>
  <c r="B74" i="14" l="1"/>
  <c r="I36" i="3"/>
  <c r="I38" i="3"/>
  <c r="I39" i="3"/>
  <c r="H35" i="3"/>
  <c r="G36" i="3"/>
  <c r="H36" i="3" s="1"/>
  <c r="G38" i="3"/>
  <c r="G39" i="3"/>
  <c r="D44" i="11" l="1"/>
  <c r="D48" i="3" l="1"/>
  <c r="M6" i="3" l="1"/>
  <c r="M5" i="3"/>
  <c r="M4" i="3"/>
  <c r="M3" i="3"/>
  <c r="F21" i="3"/>
  <c r="F20" i="3"/>
  <c r="F16" i="3"/>
  <c r="F14" i="3"/>
  <c r="F13" i="3"/>
  <c r="F11" i="3"/>
  <c r="F6" i="3" l="1"/>
  <c r="F4" i="3"/>
  <c r="F3" i="3"/>
  <c r="H30" i="3" l="1"/>
  <c r="F29" i="3" s="1"/>
  <c r="F11" i="1" l="1"/>
  <c r="C2" i="2" l="1"/>
  <c r="H55" i="1" l="1"/>
  <c r="H57" i="1" s="1"/>
  <c r="H43" i="1"/>
  <c r="H46" i="1" s="1"/>
  <c r="M7" i="11" l="1"/>
  <c r="F5" i="11"/>
  <c r="S3" i="5" l="1"/>
  <c r="J65" i="1" l="1"/>
  <c r="H65" i="1"/>
  <c r="S105" i="5" l="1"/>
  <c r="T105" i="5" s="1"/>
  <c r="I105" i="5"/>
  <c r="M105" i="5" s="1"/>
  <c r="S88" i="5" l="1"/>
  <c r="T88" i="5" s="1"/>
  <c r="I88" i="5"/>
  <c r="M88" i="5"/>
  <c r="S71" i="5"/>
  <c r="T71" i="5" s="1"/>
  <c r="I71" i="5"/>
  <c r="M71" i="5" s="1"/>
  <c r="S54" i="5"/>
  <c r="T54" i="5" s="1"/>
  <c r="I54" i="5"/>
  <c r="M54" i="5" s="1"/>
  <c r="S37" i="5"/>
  <c r="T37" i="5" s="1"/>
  <c r="I37" i="5"/>
  <c r="M37" i="5" s="1"/>
  <c r="I20" i="5"/>
  <c r="S20" i="5"/>
  <c r="T20" i="5" s="1"/>
  <c r="M20" i="5" l="1"/>
  <c r="S11" i="5"/>
  <c r="M3" i="5"/>
  <c r="I4" i="5"/>
  <c r="M4" i="5" s="1"/>
  <c r="F6" i="1"/>
  <c r="F5" i="3" l="1"/>
  <c r="H28" i="1"/>
  <c r="I106" i="5"/>
  <c r="M106" i="5" s="1"/>
  <c r="I89" i="5"/>
  <c r="M89" i="5" s="1"/>
  <c r="I55" i="5"/>
  <c r="M55" i="5" s="1"/>
  <c r="I72" i="5"/>
  <c r="M72" i="5" s="1"/>
  <c r="I38" i="5"/>
  <c r="M38" i="5" s="1"/>
  <c r="I5" i="5"/>
  <c r="S113" i="5"/>
  <c r="T113" i="5" s="1"/>
  <c r="S96" i="5"/>
  <c r="T96" i="5" s="1"/>
  <c r="S79" i="5"/>
  <c r="T79" i="5" s="1"/>
  <c r="S28" i="5"/>
  <c r="T28" i="5" s="1"/>
  <c r="S62" i="5"/>
  <c r="T62" i="5" s="1"/>
  <c r="S45" i="5"/>
  <c r="T45" i="5" s="1"/>
  <c r="I21" i="5"/>
  <c r="M21" i="5"/>
  <c r="I107" i="5" l="1"/>
  <c r="M107" i="5" s="1"/>
  <c r="I73" i="5"/>
  <c r="M73" i="5" s="1"/>
  <c r="I56" i="5"/>
  <c r="M56" i="5" s="1"/>
  <c r="I39" i="5"/>
  <c r="M39" i="5" s="1"/>
  <c r="I90" i="5"/>
  <c r="M90" i="5" s="1"/>
  <c r="M5" i="5"/>
  <c r="I22" i="5"/>
  <c r="I6" i="5"/>
  <c r="M22" i="5"/>
  <c r="I7" i="5" l="1"/>
  <c r="I108" i="5"/>
  <c r="M108" i="5" s="1"/>
  <c r="I91" i="5"/>
  <c r="M91" i="5" s="1"/>
  <c r="I74" i="5"/>
  <c r="M74" i="5" s="1"/>
  <c r="I40" i="5"/>
  <c r="M40" i="5" s="1"/>
  <c r="I57" i="5"/>
  <c r="M57" i="5" s="1"/>
  <c r="I23" i="5"/>
  <c r="M23" i="5" s="1"/>
  <c r="M6" i="5"/>
  <c r="I8" i="5" l="1"/>
  <c r="C3" i="6"/>
  <c r="I58" i="5"/>
  <c r="I109" i="5"/>
  <c r="M109" i="5" s="1"/>
  <c r="I75" i="5"/>
  <c r="I41" i="5"/>
  <c r="I92" i="5"/>
  <c r="M7" i="5"/>
  <c r="I24" i="5"/>
  <c r="C10" i="6" s="1"/>
  <c r="C38" i="6" l="1"/>
  <c r="M92" i="5"/>
  <c r="C31" i="6"/>
  <c r="M75" i="5"/>
  <c r="C24" i="6"/>
  <c r="M58" i="5"/>
  <c r="I9" i="5"/>
  <c r="C4" i="6"/>
  <c r="I110" i="5"/>
  <c r="M110" i="5" s="1"/>
  <c r="I93" i="5"/>
  <c r="I59" i="5"/>
  <c r="I76" i="5"/>
  <c r="I42" i="5"/>
  <c r="I25" i="5"/>
  <c r="C11" i="6" s="1"/>
  <c r="M8" i="5"/>
  <c r="M24" i="5"/>
  <c r="C17" i="6"/>
  <c r="M41" i="5"/>
  <c r="C32" i="6" l="1"/>
  <c r="M76" i="5"/>
  <c r="C39" i="6"/>
  <c r="M93" i="5"/>
  <c r="M25" i="5"/>
  <c r="C18" i="6"/>
  <c r="M42" i="5"/>
  <c r="C25" i="6"/>
  <c r="M59" i="5"/>
  <c r="I10" i="5"/>
  <c r="C5" i="6"/>
  <c r="I111" i="5"/>
  <c r="M111" i="5" s="1"/>
  <c r="I77" i="5"/>
  <c r="I43" i="5"/>
  <c r="I60" i="5"/>
  <c r="I94" i="5"/>
  <c r="M9" i="5"/>
  <c r="I26" i="5"/>
  <c r="C12" i="6" s="1"/>
  <c r="M26" i="5" l="1"/>
  <c r="C26" i="6"/>
  <c r="M60" i="5"/>
  <c r="C33" i="6"/>
  <c r="M77" i="5"/>
  <c r="C40" i="6"/>
  <c r="M94" i="5"/>
  <c r="C19" i="6"/>
  <c r="M43" i="5"/>
  <c r="C6" i="6"/>
  <c r="I112" i="5"/>
  <c r="M112" i="5" s="1"/>
  <c r="I95" i="5"/>
  <c r="I61" i="5"/>
  <c r="I78" i="5"/>
  <c r="I44" i="5"/>
  <c r="I27" i="5"/>
  <c r="C13" i="6" s="1"/>
  <c r="I11" i="5"/>
  <c r="M10" i="5"/>
  <c r="M27" i="5" l="1"/>
  <c r="C7" i="6"/>
  <c r="I113" i="5"/>
  <c r="M113" i="5" s="1"/>
  <c r="I79" i="5"/>
  <c r="I45" i="5"/>
  <c r="I96" i="5"/>
  <c r="I62" i="5"/>
  <c r="M11" i="5"/>
  <c r="I28" i="5"/>
  <c r="C14" i="6" s="1"/>
  <c r="I12" i="5"/>
  <c r="C20" i="6"/>
  <c r="M44" i="5"/>
  <c r="C27" i="6"/>
  <c r="M61" i="5"/>
  <c r="C34" i="6"/>
  <c r="M78" i="5"/>
  <c r="C41" i="6"/>
  <c r="M95" i="5"/>
  <c r="M28" i="5"/>
  <c r="I13" i="5" l="1"/>
  <c r="C8" i="6"/>
  <c r="I114" i="5"/>
  <c r="M114" i="5" s="1"/>
  <c r="I97" i="5"/>
  <c r="I63" i="5"/>
  <c r="I80" i="5"/>
  <c r="I46" i="5"/>
  <c r="I29" i="5"/>
  <c r="C15" i="6" s="1"/>
  <c r="M12" i="5"/>
  <c r="C42" i="6"/>
  <c r="M96" i="5"/>
  <c r="C35" i="6"/>
  <c r="M79" i="5"/>
  <c r="C28" i="6"/>
  <c r="M62" i="5"/>
  <c r="C21" i="6"/>
  <c r="M45" i="5"/>
  <c r="M29" i="5" l="1"/>
  <c r="C36" i="6"/>
  <c r="M80" i="5"/>
  <c r="C43" i="6"/>
  <c r="M97" i="5"/>
  <c r="C22" i="6"/>
  <c r="M46" i="5"/>
  <c r="C29" i="6"/>
  <c r="M63" i="5"/>
  <c r="I14" i="5"/>
  <c r="C9" i="6"/>
  <c r="I115" i="5"/>
  <c r="M115" i="5" s="1"/>
  <c r="I81" i="5"/>
  <c r="I47" i="5"/>
  <c r="I64" i="5"/>
  <c r="I98" i="5"/>
  <c r="M13" i="5"/>
  <c r="I30" i="5"/>
  <c r="C16" i="6" s="1"/>
  <c r="C44" i="6" l="1"/>
  <c r="M98" i="5"/>
  <c r="C23" i="6"/>
  <c r="M47" i="5"/>
  <c r="I15" i="5"/>
  <c r="I116" i="5"/>
  <c r="M116" i="5" s="1"/>
  <c r="I99" i="5"/>
  <c r="M99" i="5" s="1"/>
  <c r="I65" i="5"/>
  <c r="M65" i="5" s="1"/>
  <c r="I82" i="5"/>
  <c r="M82" i="5" s="1"/>
  <c r="I48" i="5"/>
  <c r="M48" i="5" s="1"/>
  <c r="M14" i="5"/>
  <c r="I31" i="5"/>
  <c r="M31" i="5" s="1"/>
  <c r="M30" i="5"/>
  <c r="C30" i="6"/>
  <c r="M64" i="5"/>
  <c r="C37" i="6"/>
  <c r="M81" i="5"/>
  <c r="I32" i="5" l="1"/>
  <c r="M32" i="5" s="1"/>
  <c r="I117" i="5"/>
  <c r="M117" i="5" s="1"/>
  <c r="I83" i="5"/>
  <c r="M83" i="5" s="1"/>
  <c r="I49" i="5"/>
  <c r="M49" i="5" s="1"/>
  <c r="I100" i="5"/>
  <c r="M100" i="5" s="1"/>
  <c r="I66" i="5"/>
  <c r="M66" i="5" s="1"/>
  <c r="M15" i="5"/>
  <c r="F31" i="5" l="1"/>
  <c r="E31" i="5"/>
  <c r="D31" i="5"/>
  <c r="C31" i="5"/>
  <c r="F30" i="5"/>
  <c r="E30" i="5"/>
  <c r="D30" i="5"/>
  <c r="C30" i="5"/>
  <c r="F29" i="5"/>
  <c r="E29" i="5"/>
  <c r="D29" i="5"/>
  <c r="C29" i="5"/>
  <c r="F28" i="5"/>
  <c r="E28" i="5"/>
  <c r="D28" i="5"/>
  <c r="C28" i="5"/>
  <c r="F27" i="5"/>
  <c r="E27" i="5"/>
  <c r="D27" i="5"/>
  <c r="C27" i="5"/>
  <c r="F26" i="5"/>
  <c r="E26" i="5"/>
  <c r="D26" i="5"/>
  <c r="C26" i="5"/>
  <c r="F25" i="5"/>
  <c r="E25" i="5"/>
  <c r="D25" i="5"/>
  <c r="C25" i="5"/>
  <c r="F24" i="5"/>
  <c r="E24" i="5"/>
  <c r="D24" i="5"/>
  <c r="C24" i="5"/>
  <c r="F23" i="5"/>
  <c r="E23" i="5"/>
  <c r="D23" i="5"/>
  <c r="C23" i="5"/>
  <c r="F22" i="5"/>
  <c r="E22" i="5"/>
  <c r="D22" i="5"/>
  <c r="C22" i="5"/>
  <c r="F21" i="5"/>
  <c r="E21" i="5"/>
  <c r="D21" i="5"/>
  <c r="C21" i="5"/>
  <c r="F20" i="5"/>
  <c r="E20" i="5"/>
  <c r="D20" i="5"/>
  <c r="C20" i="5"/>
  <c r="F19" i="5"/>
  <c r="E19" i="5"/>
  <c r="D19" i="5"/>
  <c r="C19" i="5"/>
  <c r="F18" i="5"/>
  <c r="E18" i="5"/>
  <c r="D18" i="5"/>
  <c r="C18" i="5"/>
  <c r="F17" i="5"/>
  <c r="E17" i="5"/>
  <c r="D17" i="5"/>
  <c r="C17" i="5"/>
  <c r="F16" i="5"/>
  <c r="E16" i="5"/>
  <c r="D16" i="5"/>
  <c r="C16" i="5"/>
  <c r="S15" i="5"/>
  <c r="F15" i="5"/>
  <c r="E15" i="5"/>
  <c r="D15" i="5"/>
  <c r="C15" i="5"/>
  <c r="S14" i="5"/>
  <c r="F14" i="5"/>
  <c r="E14" i="5"/>
  <c r="D14" i="5"/>
  <c r="C14" i="5"/>
  <c r="S13" i="5"/>
  <c r="F13" i="5"/>
  <c r="E13" i="5"/>
  <c r="D13" i="5"/>
  <c r="C13" i="5"/>
  <c r="S12" i="5"/>
  <c r="F12" i="5"/>
  <c r="E12" i="5"/>
  <c r="D12" i="5"/>
  <c r="C12" i="5"/>
  <c r="B11" i="5"/>
  <c r="B31" i="5" s="1"/>
  <c r="S10" i="5"/>
  <c r="S9" i="5"/>
  <c r="S8" i="5"/>
  <c r="S7" i="5"/>
  <c r="S6" i="5"/>
  <c r="S5" i="5"/>
  <c r="S4" i="5"/>
  <c r="E2" i="5"/>
  <c r="S107" i="5" l="1"/>
  <c r="T107" i="5" s="1"/>
  <c r="S90" i="5"/>
  <c r="T90" i="5" s="1"/>
  <c r="S73" i="5"/>
  <c r="T73" i="5" s="1"/>
  <c r="S22" i="5"/>
  <c r="T22" i="5" s="1"/>
  <c r="S39" i="5"/>
  <c r="T39" i="5" s="1"/>
  <c r="S56" i="5"/>
  <c r="T56" i="5" s="1"/>
  <c r="S109" i="5"/>
  <c r="T109" i="5" s="1"/>
  <c r="S92" i="5"/>
  <c r="T92" i="5" s="1"/>
  <c r="S75" i="5"/>
  <c r="T75" i="5" s="1"/>
  <c r="S24" i="5"/>
  <c r="T24" i="5" s="1"/>
  <c r="S58" i="5"/>
  <c r="T58" i="5" s="1"/>
  <c r="S41" i="5"/>
  <c r="T41" i="5" s="1"/>
  <c r="S111" i="5"/>
  <c r="T111" i="5" s="1"/>
  <c r="S94" i="5"/>
  <c r="T94" i="5" s="1"/>
  <c r="S77" i="5"/>
  <c r="T77" i="5" s="1"/>
  <c r="S26" i="5"/>
  <c r="T26" i="5" s="1"/>
  <c r="S43" i="5"/>
  <c r="T43" i="5" s="1"/>
  <c r="S60" i="5"/>
  <c r="T60" i="5" s="1"/>
  <c r="S115" i="5"/>
  <c r="T115" i="5" s="1"/>
  <c r="S98" i="5"/>
  <c r="T98" i="5" s="1"/>
  <c r="S81" i="5"/>
  <c r="T81" i="5" s="1"/>
  <c r="S30" i="5"/>
  <c r="T30" i="5" s="1"/>
  <c r="S47" i="5"/>
  <c r="T47" i="5" s="1"/>
  <c r="S64" i="5"/>
  <c r="T64" i="5" s="1"/>
  <c r="S117" i="5"/>
  <c r="T117" i="5" s="1"/>
  <c r="S100" i="5"/>
  <c r="T100" i="5" s="1"/>
  <c r="S83" i="5"/>
  <c r="T83" i="5" s="1"/>
  <c r="S32" i="5"/>
  <c r="T32" i="5" s="1"/>
  <c r="S66" i="5"/>
  <c r="T66" i="5" s="1"/>
  <c r="S49" i="5"/>
  <c r="T49" i="5" s="1"/>
  <c r="S106" i="5"/>
  <c r="T106" i="5" s="1"/>
  <c r="S55" i="5"/>
  <c r="T55" i="5" s="1"/>
  <c r="S38" i="5"/>
  <c r="T38" i="5" s="1"/>
  <c r="S89" i="5"/>
  <c r="T89" i="5" s="1"/>
  <c r="S72" i="5"/>
  <c r="T72" i="5" s="1"/>
  <c r="S21" i="5"/>
  <c r="T21" i="5" s="1"/>
  <c r="S108" i="5"/>
  <c r="T108" i="5" s="1"/>
  <c r="S57" i="5"/>
  <c r="T57" i="5" s="1"/>
  <c r="S40" i="5"/>
  <c r="T40" i="5" s="1"/>
  <c r="S23" i="5"/>
  <c r="T23" i="5" s="1"/>
  <c r="S91" i="5"/>
  <c r="T91" i="5" s="1"/>
  <c r="S74" i="5"/>
  <c r="T74" i="5" s="1"/>
  <c r="S110" i="5"/>
  <c r="T110" i="5" s="1"/>
  <c r="S59" i="5"/>
  <c r="T59" i="5" s="1"/>
  <c r="S42" i="5"/>
  <c r="T42" i="5" s="1"/>
  <c r="S93" i="5"/>
  <c r="T93" i="5" s="1"/>
  <c r="S76" i="5"/>
  <c r="T76" i="5" s="1"/>
  <c r="S25" i="5"/>
  <c r="T25" i="5" s="1"/>
  <c r="S112" i="5"/>
  <c r="T112" i="5" s="1"/>
  <c r="S61" i="5"/>
  <c r="T61" i="5" s="1"/>
  <c r="S44" i="5"/>
  <c r="T44" i="5" s="1"/>
  <c r="S27" i="5"/>
  <c r="T27" i="5" s="1"/>
  <c r="S95" i="5"/>
  <c r="T95" i="5" s="1"/>
  <c r="S78" i="5"/>
  <c r="T78" i="5" s="1"/>
  <c r="S114" i="5"/>
  <c r="T114" i="5" s="1"/>
  <c r="S63" i="5"/>
  <c r="T63" i="5" s="1"/>
  <c r="S46" i="5"/>
  <c r="T46" i="5" s="1"/>
  <c r="S97" i="5"/>
  <c r="T97" i="5" s="1"/>
  <c r="S80" i="5"/>
  <c r="T80" i="5" s="1"/>
  <c r="S29" i="5"/>
  <c r="T29" i="5" s="1"/>
  <c r="S116" i="5"/>
  <c r="T116" i="5" s="1"/>
  <c r="S65" i="5"/>
  <c r="T65" i="5" s="1"/>
  <c r="S48" i="5"/>
  <c r="T48" i="5" s="1"/>
  <c r="S31" i="5"/>
  <c r="T31" i="5" s="1"/>
  <c r="S99" i="5"/>
  <c r="T99" i="5" s="1"/>
  <c r="S82" i="5"/>
  <c r="T82" i="5" s="1"/>
  <c r="B18" i="5"/>
  <c r="B20" i="5"/>
  <c r="B21" i="5"/>
  <c r="B22" i="5"/>
  <c r="B23" i="5"/>
  <c r="B24" i="5"/>
  <c r="B25" i="5"/>
  <c r="B26" i="5"/>
  <c r="B27" i="5"/>
  <c r="B28" i="5"/>
  <c r="B29" i="5"/>
  <c r="B30" i="5"/>
  <c r="B12" i="5"/>
  <c r="B13" i="5"/>
  <c r="B14" i="5"/>
  <c r="B15" i="5"/>
  <c r="B16" i="5"/>
  <c r="B17" i="5"/>
  <c r="B19" i="5"/>
  <c r="H39" i="3" l="1"/>
  <c r="H38" i="3"/>
  <c r="N113" i="5"/>
  <c r="N105" i="5"/>
  <c r="N109" i="5"/>
  <c r="N117" i="5"/>
  <c r="N115" i="5"/>
  <c r="N107" i="5"/>
  <c r="N111" i="5"/>
  <c r="N116" i="5"/>
  <c r="N110" i="5"/>
  <c r="N112" i="5"/>
  <c r="N114" i="5"/>
  <c r="N106" i="5"/>
  <c r="N108" i="5"/>
  <c r="N37" i="5"/>
  <c r="N56" i="5"/>
  <c r="N60" i="5"/>
  <c r="N64" i="5"/>
  <c r="N75" i="5"/>
  <c r="N83" i="5"/>
  <c r="N54" i="5"/>
  <c r="N79" i="5"/>
  <c r="N71" i="5"/>
  <c r="N90" i="5"/>
  <c r="N94" i="5"/>
  <c r="N98" i="5"/>
  <c r="N41" i="5"/>
  <c r="N58" i="5"/>
  <c r="N62" i="5"/>
  <c r="N66" i="5"/>
  <c r="N77" i="5"/>
  <c r="N49" i="5"/>
  <c r="N73" i="5"/>
  <c r="N81" i="5"/>
  <c r="N88" i="5"/>
  <c r="N92" i="5"/>
  <c r="N96" i="5"/>
  <c r="N100" i="5"/>
  <c r="N48" i="5"/>
  <c r="N40" i="5"/>
  <c r="N39" i="5"/>
  <c r="N63" i="5"/>
  <c r="N82" i="5"/>
  <c r="N74" i="5"/>
  <c r="N95" i="5"/>
  <c r="N46" i="5"/>
  <c r="N38" i="5"/>
  <c r="N45" i="5"/>
  <c r="N61" i="5"/>
  <c r="N80" i="5"/>
  <c r="N72" i="5"/>
  <c r="N93" i="5"/>
  <c r="N44" i="5"/>
  <c r="N47" i="5"/>
  <c r="N57" i="5"/>
  <c r="N59" i="5"/>
  <c r="N78" i="5"/>
  <c r="N99" i="5"/>
  <c r="N91" i="5"/>
  <c r="N42" i="5"/>
  <c r="N43" i="5"/>
  <c r="N65" i="5"/>
  <c r="N55" i="5"/>
  <c r="N76" i="5"/>
  <c r="N97" i="5"/>
  <c r="N89" i="5"/>
  <c r="N3" i="5"/>
  <c r="N9" i="5"/>
  <c r="N5" i="5"/>
  <c r="N10" i="5"/>
  <c r="N6" i="5"/>
  <c r="N20" i="5"/>
  <c r="N11" i="5"/>
  <c r="N7" i="5"/>
  <c r="N15" i="5"/>
  <c r="N8" i="5"/>
  <c r="N4" i="5"/>
  <c r="N14" i="5"/>
  <c r="N21" i="5"/>
  <c r="N13" i="5"/>
  <c r="N12" i="5"/>
  <c r="N22" i="5"/>
  <c r="N23" i="5"/>
  <c r="N24" i="5"/>
  <c r="N25" i="5"/>
  <c r="N26" i="5"/>
  <c r="N27" i="5"/>
  <c r="N28" i="5"/>
  <c r="N29" i="5"/>
  <c r="N30" i="5"/>
  <c r="N31" i="5"/>
  <c r="N32" i="5"/>
  <c r="I65" i="1" l="1"/>
  <c r="G65" i="1"/>
  <c r="N9" i="1" l="1"/>
  <c r="M7" i="3" l="1"/>
  <c r="M8" i="3"/>
  <c r="C4" i="2"/>
  <c r="H32" i="1" l="1"/>
  <c r="F15" i="1"/>
  <c r="F12" i="3" s="1"/>
  <c r="H33" i="1" l="1"/>
  <c r="F18" i="1" s="1"/>
  <c r="C25" i="3"/>
  <c r="H47" i="1"/>
  <c r="C24" i="11"/>
  <c r="D48" i="11" s="1"/>
  <c r="C24" i="3"/>
  <c r="H37" i="1" l="1"/>
  <c r="C65" i="1" s="1"/>
  <c r="F15" i="3"/>
  <c r="O117" i="5"/>
  <c r="O116" i="5"/>
  <c r="O111" i="5"/>
  <c r="O110" i="5"/>
  <c r="O109" i="5"/>
  <c r="O108" i="5"/>
  <c r="O105" i="5"/>
  <c r="O115" i="5"/>
  <c r="O114" i="5"/>
  <c r="O113" i="5"/>
  <c r="O112" i="5"/>
  <c r="O107" i="5"/>
  <c r="O106" i="5"/>
  <c r="O100" i="5"/>
  <c r="O97" i="5"/>
  <c r="O96" i="5"/>
  <c r="O93" i="5"/>
  <c r="O92" i="5"/>
  <c r="O89" i="5"/>
  <c r="O88" i="5"/>
  <c r="O80" i="5"/>
  <c r="O79" i="5"/>
  <c r="O78" i="5"/>
  <c r="O77" i="5"/>
  <c r="O72" i="5"/>
  <c r="O63" i="5"/>
  <c r="O62" i="5"/>
  <c r="O59" i="5"/>
  <c r="O58" i="5"/>
  <c r="O55" i="5"/>
  <c r="O49" i="5"/>
  <c r="O48" i="5"/>
  <c r="O45" i="5"/>
  <c r="O43" i="5"/>
  <c r="O42" i="5"/>
  <c r="O40" i="5"/>
  <c r="O39" i="5"/>
  <c r="O38" i="5"/>
  <c r="O99" i="5"/>
  <c r="O98" i="5"/>
  <c r="O95" i="5"/>
  <c r="O94" i="5"/>
  <c r="O91" i="5"/>
  <c r="O90" i="5"/>
  <c r="O83" i="5"/>
  <c r="O82" i="5"/>
  <c r="O81" i="5"/>
  <c r="O76" i="5"/>
  <c r="O75" i="5"/>
  <c r="O74" i="5"/>
  <c r="O73" i="5"/>
  <c r="O71" i="5"/>
  <c r="O66" i="5"/>
  <c r="O65" i="5"/>
  <c r="O64" i="5"/>
  <c r="O61" i="5"/>
  <c r="O60" i="5"/>
  <c r="O56" i="5"/>
  <c r="O44" i="5"/>
  <c r="O41" i="5"/>
  <c r="O57" i="5"/>
  <c r="O54" i="5"/>
  <c r="O47" i="5"/>
  <c r="O46" i="5"/>
  <c r="O37" i="5"/>
  <c r="O31" i="5"/>
  <c r="O29" i="5"/>
  <c r="O27" i="5"/>
  <c r="O25" i="5"/>
  <c r="O23" i="5"/>
  <c r="O21" i="5"/>
  <c r="O20" i="5"/>
  <c r="O4" i="5"/>
  <c r="O6" i="5"/>
  <c r="O8" i="5"/>
  <c r="O10" i="5"/>
  <c r="O12" i="5"/>
  <c r="O14" i="5"/>
  <c r="O3" i="5"/>
  <c r="O32" i="5"/>
  <c r="O30" i="5"/>
  <c r="O28" i="5"/>
  <c r="O26" i="5"/>
  <c r="O24" i="5"/>
  <c r="O22" i="5"/>
  <c r="O5" i="5"/>
  <c r="O7" i="5"/>
  <c r="O9" i="5"/>
  <c r="O11" i="5"/>
  <c r="O13" i="5"/>
  <c r="O15" i="5"/>
  <c r="H35" i="1"/>
  <c r="D65" i="1" s="1"/>
  <c r="C3" i="2" l="1"/>
  <c r="C26" i="11"/>
  <c r="H39" i="1"/>
  <c r="C7" i="2" l="1"/>
  <c r="H41" i="1"/>
  <c r="H49" i="1" s="1"/>
  <c r="E65" i="1"/>
  <c r="C27" i="3"/>
  <c r="F7" i="11"/>
  <c r="B18" i="2"/>
  <c r="B19" i="2" s="1"/>
  <c r="B20" i="2" s="1"/>
  <c r="B21" i="2" s="1"/>
  <c r="B22" i="2" s="1"/>
  <c r="B23" i="2" s="1"/>
  <c r="B24" i="2" s="1"/>
  <c r="B25" i="2" s="1"/>
  <c r="B26" i="2" s="1"/>
  <c r="B27" i="2" s="1"/>
  <c r="C26" i="3"/>
  <c r="B42" i="2"/>
  <c r="C27" i="11"/>
  <c r="C28" i="11" s="1"/>
  <c r="E4" i="5"/>
  <c r="H52" i="1" l="1"/>
  <c r="F65" i="1" s="1"/>
  <c r="C42" i="2"/>
  <c r="C43" i="2"/>
  <c r="C11" i="2"/>
  <c r="C48" i="2"/>
  <c r="C50" i="2"/>
  <c r="C45" i="2"/>
  <c r="C49" i="2"/>
  <c r="C47" i="2"/>
  <c r="C44" i="2"/>
  <c r="C46" i="2"/>
  <c r="C10" i="2"/>
  <c r="C8" i="2" s="1"/>
  <c r="D45" i="3"/>
  <c r="C28" i="3"/>
  <c r="D41" i="11" l="1"/>
  <c r="D41" i="3"/>
  <c r="C9" i="2"/>
  <c r="D45" i="11"/>
  <c r="E5" i="5"/>
  <c r="C37" i="3" l="1"/>
  <c r="D37" i="3" s="1"/>
  <c r="E37" i="3" s="1"/>
  <c r="F37" i="3" s="1"/>
  <c r="J37" i="3" s="1"/>
  <c r="K37" i="3" s="1"/>
  <c r="L37" i="3" s="1"/>
  <c r="C36" i="3"/>
  <c r="D36" i="3" s="1"/>
  <c r="E36" i="3" s="1"/>
  <c r="F36" i="3" s="1"/>
  <c r="C35" i="3"/>
  <c r="D35" i="3" s="1"/>
  <c r="E35" i="3" s="1"/>
  <c r="F35" i="3" s="1"/>
  <c r="J35" i="3" s="1"/>
  <c r="K35" i="3" s="1"/>
  <c r="L35" i="3" s="1"/>
  <c r="R35" i="3" s="1"/>
  <c r="C38" i="3"/>
  <c r="D38" i="3" s="1"/>
  <c r="E38" i="3" s="1"/>
  <c r="F38" i="3" s="1"/>
  <c r="J38" i="3" s="1"/>
  <c r="K38" i="3" s="1"/>
  <c r="L38" i="3" s="1"/>
  <c r="R38" i="3" s="1"/>
  <c r="C39" i="3"/>
  <c r="D39" i="3" s="1"/>
  <c r="E39" i="3" s="1"/>
  <c r="F39" i="3" s="1"/>
  <c r="J39" i="3" s="1"/>
  <c r="K39" i="3" s="1"/>
  <c r="L39" i="3" s="1"/>
  <c r="R39" i="3" s="1"/>
  <c r="D42" i="3"/>
  <c r="C35" i="11"/>
  <c r="D35" i="11" s="1"/>
  <c r="E35" i="11" s="1"/>
  <c r="F35" i="11" s="1"/>
  <c r="K35" i="11" s="1"/>
  <c r="C38" i="11"/>
  <c r="D38" i="11" s="1"/>
  <c r="E38" i="11" s="1"/>
  <c r="F38" i="11" s="1"/>
  <c r="J38" i="11" s="1"/>
  <c r="K38" i="11" s="1"/>
  <c r="L38" i="11" s="1"/>
  <c r="C37" i="11"/>
  <c r="D37" i="11" s="1"/>
  <c r="C39" i="11"/>
  <c r="D39" i="11" s="1"/>
  <c r="E39" i="11" s="1"/>
  <c r="F39" i="11" s="1"/>
  <c r="J39" i="11" s="1"/>
  <c r="K39" i="11" s="1"/>
  <c r="L39" i="11" s="1"/>
  <c r="C36" i="11"/>
  <c r="D36" i="11" s="1"/>
  <c r="E36" i="11" s="1"/>
  <c r="F36" i="11" s="1"/>
  <c r="J36" i="11" s="1"/>
  <c r="K36" i="11" s="1"/>
  <c r="L36" i="11" s="1"/>
  <c r="D42" i="11"/>
  <c r="C57" i="2"/>
  <c r="C54" i="2"/>
  <c r="C51" i="2"/>
  <c r="C53" i="2"/>
  <c r="C37" i="2"/>
  <c r="C38" i="2" s="1"/>
  <c r="C25" i="2"/>
  <c r="C22" i="2"/>
  <c r="C18" i="2"/>
  <c r="C27" i="2"/>
  <c r="C21" i="2"/>
  <c r="C28" i="2"/>
  <c r="C24" i="2"/>
  <c r="C20" i="2"/>
  <c r="C23" i="2"/>
  <c r="C26" i="2"/>
  <c r="C19" i="2"/>
  <c r="C55" i="2"/>
  <c r="C52" i="2"/>
  <c r="C56" i="2"/>
  <c r="Q39" i="3"/>
  <c r="O39" i="3"/>
  <c r="N39" i="3"/>
  <c r="P39" i="3"/>
  <c r="Q35" i="3"/>
  <c r="O35" i="3"/>
  <c r="J115" i="5"/>
  <c r="K115" i="5" s="1"/>
  <c r="L115" i="5" s="1"/>
  <c r="P115" i="5" s="1"/>
  <c r="Q115" i="5" s="1"/>
  <c r="R115" i="5" s="1"/>
  <c r="U115" i="5" s="1"/>
  <c r="J114" i="5"/>
  <c r="K114" i="5" s="1"/>
  <c r="L114" i="5" s="1"/>
  <c r="P114" i="5" s="1"/>
  <c r="Q114" i="5" s="1"/>
  <c r="R114" i="5" s="1"/>
  <c r="U114" i="5" s="1"/>
  <c r="J113" i="5"/>
  <c r="K113" i="5" s="1"/>
  <c r="L113" i="5" s="1"/>
  <c r="P113" i="5" s="1"/>
  <c r="Q113" i="5" s="1"/>
  <c r="R113" i="5" s="1"/>
  <c r="U113" i="5" s="1"/>
  <c r="J112" i="5"/>
  <c r="K112" i="5" s="1"/>
  <c r="L112" i="5" s="1"/>
  <c r="P112" i="5" s="1"/>
  <c r="Q112" i="5" s="1"/>
  <c r="R112" i="5" s="1"/>
  <c r="U112" i="5" s="1"/>
  <c r="J107" i="5"/>
  <c r="K107" i="5" s="1"/>
  <c r="L107" i="5" s="1"/>
  <c r="P107" i="5" s="1"/>
  <c r="Q107" i="5" s="1"/>
  <c r="R107" i="5" s="1"/>
  <c r="U107" i="5" s="1"/>
  <c r="J106" i="5"/>
  <c r="K106" i="5" s="1"/>
  <c r="L106" i="5" s="1"/>
  <c r="P106" i="5" s="1"/>
  <c r="Q106" i="5" s="1"/>
  <c r="R106" i="5" s="1"/>
  <c r="U106" i="5" s="1"/>
  <c r="J117" i="5"/>
  <c r="K117" i="5" s="1"/>
  <c r="L117" i="5" s="1"/>
  <c r="P117" i="5" s="1"/>
  <c r="Q117" i="5" s="1"/>
  <c r="R117" i="5" s="1"/>
  <c r="U117" i="5" s="1"/>
  <c r="J116" i="5"/>
  <c r="K116" i="5" s="1"/>
  <c r="L116" i="5" s="1"/>
  <c r="P116" i="5" s="1"/>
  <c r="Q116" i="5" s="1"/>
  <c r="R116" i="5" s="1"/>
  <c r="U116" i="5" s="1"/>
  <c r="J111" i="5"/>
  <c r="K111" i="5" s="1"/>
  <c r="L111" i="5" s="1"/>
  <c r="P111" i="5" s="1"/>
  <c r="Q111" i="5" s="1"/>
  <c r="R111" i="5" s="1"/>
  <c r="U111" i="5" s="1"/>
  <c r="J110" i="5"/>
  <c r="K110" i="5" s="1"/>
  <c r="L110" i="5" s="1"/>
  <c r="P110" i="5" s="1"/>
  <c r="Q110" i="5" s="1"/>
  <c r="R110" i="5" s="1"/>
  <c r="U110" i="5" s="1"/>
  <c r="J109" i="5"/>
  <c r="K109" i="5" s="1"/>
  <c r="L109" i="5" s="1"/>
  <c r="P109" i="5" s="1"/>
  <c r="Q109" i="5" s="1"/>
  <c r="R109" i="5" s="1"/>
  <c r="U109" i="5" s="1"/>
  <c r="J108" i="5"/>
  <c r="K108" i="5" s="1"/>
  <c r="L108" i="5" s="1"/>
  <c r="P108" i="5" s="1"/>
  <c r="Q108" i="5" s="1"/>
  <c r="R108" i="5" s="1"/>
  <c r="U108" i="5" s="1"/>
  <c r="J105" i="5"/>
  <c r="K105" i="5" s="1"/>
  <c r="L105" i="5" s="1"/>
  <c r="P105" i="5" s="1"/>
  <c r="Q105" i="5" s="1"/>
  <c r="R105" i="5" s="1"/>
  <c r="U105" i="5" s="1"/>
  <c r="J99" i="5"/>
  <c r="K99" i="5" s="1"/>
  <c r="L99" i="5" s="1"/>
  <c r="P99" i="5" s="1"/>
  <c r="Q99" i="5" s="1"/>
  <c r="R99" i="5" s="1"/>
  <c r="U99" i="5" s="1"/>
  <c r="J95" i="5"/>
  <c r="K95" i="5" s="1"/>
  <c r="L95" i="5" s="1"/>
  <c r="P95" i="5" s="1"/>
  <c r="Q95" i="5" s="1"/>
  <c r="R95" i="5" s="1"/>
  <c r="U95" i="5" s="1"/>
  <c r="D41" i="6" s="1"/>
  <c r="J91" i="5"/>
  <c r="K91" i="5" s="1"/>
  <c r="L91" i="5" s="1"/>
  <c r="P91" i="5" s="1"/>
  <c r="Q91" i="5" s="1"/>
  <c r="R91" i="5" s="1"/>
  <c r="U91" i="5" s="1"/>
  <c r="J82" i="5"/>
  <c r="K82" i="5" s="1"/>
  <c r="L82" i="5" s="1"/>
  <c r="P82" i="5" s="1"/>
  <c r="Q82" i="5" s="1"/>
  <c r="R82" i="5" s="1"/>
  <c r="U82" i="5" s="1"/>
  <c r="J76" i="5"/>
  <c r="K76" i="5" s="1"/>
  <c r="L76" i="5" s="1"/>
  <c r="P76" i="5" s="1"/>
  <c r="Q76" i="5" s="1"/>
  <c r="R76" i="5" s="1"/>
  <c r="U76" i="5" s="1"/>
  <c r="D32" i="6" s="1"/>
  <c r="J74" i="5"/>
  <c r="K74" i="5" s="1"/>
  <c r="L74" i="5" s="1"/>
  <c r="P74" i="5" s="1"/>
  <c r="Q74" i="5" s="1"/>
  <c r="R74" i="5" s="1"/>
  <c r="U74" i="5" s="1"/>
  <c r="J71" i="5"/>
  <c r="K71" i="5" s="1"/>
  <c r="L71" i="5" s="1"/>
  <c r="P71" i="5" s="1"/>
  <c r="Q71" i="5" s="1"/>
  <c r="R71" i="5" s="1"/>
  <c r="U71" i="5" s="1"/>
  <c r="J65" i="5"/>
  <c r="K65" i="5" s="1"/>
  <c r="L65" i="5" s="1"/>
  <c r="P65" i="5" s="1"/>
  <c r="Q65" i="5" s="1"/>
  <c r="R65" i="5" s="1"/>
  <c r="U65" i="5" s="1"/>
  <c r="J61" i="5"/>
  <c r="K61" i="5" s="1"/>
  <c r="L61" i="5" s="1"/>
  <c r="P61" i="5" s="1"/>
  <c r="Q61" i="5" s="1"/>
  <c r="R61" i="5" s="1"/>
  <c r="U61" i="5" s="1"/>
  <c r="D27" i="6" s="1"/>
  <c r="J57" i="5"/>
  <c r="K57" i="5" s="1"/>
  <c r="L57" i="5" s="1"/>
  <c r="P57" i="5" s="1"/>
  <c r="Q57" i="5" s="1"/>
  <c r="R57" i="5" s="1"/>
  <c r="U57" i="5" s="1"/>
  <c r="J39" i="5"/>
  <c r="K39" i="5" s="1"/>
  <c r="L39" i="5" s="1"/>
  <c r="P39" i="5" s="1"/>
  <c r="Q39" i="5" s="1"/>
  <c r="R39" i="5" s="1"/>
  <c r="U39" i="5" s="1"/>
  <c r="J47" i="5"/>
  <c r="K47" i="5" s="1"/>
  <c r="L47" i="5" s="1"/>
  <c r="P47" i="5" s="1"/>
  <c r="Q47" i="5" s="1"/>
  <c r="R47" i="5" s="1"/>
  <c r="U47" i="5" s="1"/>
  <c r="D23" i="6" s="1"/>
  <c r="J40" i="5"/>
  <c r="K40" i="5" s="1"/>
  <c r="L40" i="5" s="1"/>
  <c r="P40" i="5" s="1"/>
  <c r="Q40" i="5" s="1"/>
  <c r="R40" i="5" s="1"/>
  <c r="U40" i="5" s="1"/>
  <c r="J49" i="5"/>
  <c r="K49" i="5" s="1"/>
  <c r="L49" i="5" s="1"/>
  <c r="P49" i="5" s="1"/>
  <c r="Q49" i="5" s="1"/>
  <c r="R49" i="5" s="1"/>
  <c r="U49" i="5" s="1"/>
  <c r="J37" i="5"/>
  <c r="K37" i="5" s="1"/>
  <c r="L37" i="5" s="1"/>
  <c r="P37" i="5" s="1"/>
  <c r="Q37" i="5" s="1"/>
  <c r="R37" i="5" s="1"/>
  <c r="U37" i="5" s="1"/>
  <c r="J97" i="5"/>
  <c r="K97" i="5" s="1"/>
  <c r="L97" i="5" s="1"/>
  <c r="P97" i="5" s="1"/>
  <c r="Q97" i="5" s="1"/>
  <c r="R97" i="5" s="1"/>
  <c r="U97" i="5" s="1"/>
  <c r="D43" i="6" s="1"/>
  <c r="J93" i="5"/>
  <c r="K93" i="5" s="1"/>
  <c r="L93" i="5" s="1"/>
  <c r="P93" i="5" s="1"/>
  <c r="Q93" i="5" s="1"/>
  <c r="R93" i="5" s="1"/>
  <c r="U93" i="5" s="1"/>
  <c r="D39" i="6" s="1"/>
  <c r="J89" i="5"/>
  <c r="K89" i="5" s="1"/>
  <c r="L89" i="5" s="1"/>
  <c r="P89" i="5" s="1"/>
  <c r="Q89" i="5" s="1"/>
  <c r="R89" i="5" s="1"/>
  <c r="U89" i="5" s="1"/>
  <c r="J88" i="5"/>
  <c r="K88" i="5" s="1"/>
  <c r="L88" i="5" s="1"/>
  <c r="P88" i="5" s="1"/>
  <c r="Q88" i="5" s="1"/>
  <c r="R88" i="5" s="1"/>
  <c r="U88" i="5" s="1"/>
  <c r="J80" i="5"/>
  <c r="K80" i="5" s="1"/>
  <c r="L80" i="5" s="1"/>
  <c r="P80" i="5" s="1"/>
  <c r="Q80" i="5" s="1"/>
  <c r="R80" i="5" s="1"/>
  <c r="U80" i="5" s="1"/>
  <c r="D36" i="6" s="1"/>
  <c r="J78" i="5"/>
  <c r="K78" i="5" s="1"/>
  <c r="L78" i="5" s="1"/>
  <c r="P78" i="5" s="1"/>
  <c r="Q78" i="5" s="1"/>
  <c r="R78" i="5" s="1"/>
  <c r="U78" i="5" s="1"/>
  <c r="D34" i="6" s="1"/>
  <c r="J72" i="5"/>
  <c r="K72" i="5" s="1"/>
  <c r="L72" i="5" s="1"/>
  <c r="P72" i="5" s="1"/>
  <c r="Q72" i="5" s="1"/>
  <c r="R72" i="5" s="1"/>
  <c r="U72" i="5" s="1"/>
  <c r="J54" i="5"/>
  <c r="K54" i="5" s="1"/>
  <c r="L54" i="5" s="1"/>
  <c r="P54" i="5" s="1"/>
  <c r="Q54" i="5" s="1"/>
  <c r="R54" i="5" s="1"/>
  <c r="U54" i="5" s="1"/>
  <c r="J63" i="5"/>
  <c r="K63" i="5" s="1"/>
  <c r="L63" i="5" s="1"/>
  <c r="P63" i="5" s="1"/>
  <c r="Q63" i="5" s="1"/>
  <c r="R63" i="5" s="1"/>
  <c r="U63" i="5" s="1"/>
  <c r="D29" i="6" s="1"/>
  <c r="J59" i="5"/>
  <c r="K59" i="5" s="1"/>
  <c r="L59" i="5" s="1"/>
  <c r="P59" i="5" s="1"/>
  <c r="Q59" i="5" s="1"/>
  <c r="R59" i="5" s="1"/>
  <c r="U59" i="5" s="1"/>
  <c r="D25" i="6" s="1"/>
  <c r="J45" i="5"/>
  <c r="K45" i="5" s="1"/>
  <c r="L45" i="5" s="1"/>
  <c r="P45" i="5" s="1"/>
  <c r="Q45" i="5" s="1"/>
  <c r="R45" i="5" s="1"/>
  <c r="U45" i="5" s="1"/>
  <c r="D21" i="6" s="1"/>
  <c r="J43" i="5"/>
  <c r="K43" i="5" s="1"/>
  <c r="L43" i="5" s="1"/>
  <c r="P43" i="5" s="1"/>
  <c r="Q43" i="5" s="1"/>
  <c r="R43" i="5" s="1"/>
  <c r="U43" i="5" s="1"/>
  <c r="D19" i="6" s="1"/>
  <c r="J41" i="5"/>
  <c r="K41" i="5" s="1"/>
  <c r="L41" i="5" s="1"/>
  <c r="P41" i="5" s="1"/>
  <c r="Q41" i="5" s="1"/>
  <c r="R41" i="5" s="1"/>
  <c r="U41" i="5" s="1"/>
  <c r="D17" i="6" s="1"/>
  <c r="J55" i="5"/>
  <c r="K55" i="5" s="1"/>
  <c r="L55" i="5" s="1"/>
  <c r="P55" i="5" s="1"/>
  <c r="Q55" i="5" s="1"/>
  <c r="R55" i="5" s="1"/>
  <c r="U55" i="5" s="1"/>
  <c r="J48" i="5"/>
  <c r="K48" i="5" s="1"/>
  <c r="L48" i="5" s="1"/>
  <c r="P48" i="5" s="1"/>
  <c r="Q48" i="5" s="1"/>
  <c r="R48" i="5" s="1"/>
  <c r="U48" i="5" s="1"/>
  <c r="J38" i="5"/>
  <c r="K38" i="5" s="1"/>
  <c r="L38" i="5" s="1"/>
  <c r="P38" i="5" s="1"/>
  <c r="Q38" i="5" s="1"/>
  <c r="R38" i="5" s="1"/>
  <c r="U38" i="5" s="1"/>
  <c r="J44" i="5"/>
  <c r="K44" i="5" s="1"/>
  <c r="L44" i="5" s="1"/>
  <c r="P44" i="5" s="1"/>
  <c r="Q44" i="5" s="1"/>
  <c r="R44" i="5" s="1"/>
  <c r="U44" i="5" s="1"/>
  <c r="D20" i="6" s="1"/>
  <c r="J64" i="5"/>
  <c r="K64" i="5" s="1"/>
  <c r="L64" i="5" s="1"/>
  <c r="P64" i="5" s="1"/>
  <c r="Q64" i="5" s="1"/>
  <c r="R64" i="5" s="1"/>
  <c r="U64" i="5" s="1"/>
  <c r="D30" i="6" s="1"/>
  <c r="J60" i="5"/>
  <c r="K60" i="5" s="1"/>
  <c r="L60" i="5" s="1"/>
  <c r="P60" i="5" s="1"/>
  <c r="Q60" i="5" s="1"/>
  <c r="R60" i="5" s="1"/>
  <c r="U60" i="5" s="1"/>
  <c r="D26" i="6" s="1"/>
  <c r="J56" i="5"/>
  <c r="K56" i="5" s="1"/>
  <c r="J81" i="5"/>
  <c r="K81" i="5" s="1"/>
  <c r="L81" i="5" s="1"/>
  <c r="P81" i="5" s="1"/>
  <c r="Q81" i="5" s="1"/>
  <c r="R81" i="5" s="1"/>
  <c r="U81" i="5" s="1"/>
  <c r="D37" i="6" s="1"/>
  <c r="J77" i="5"/>
  <c r="K77" i="5" s="1"/>
  <c r="L77" i="5" s="1"/>
  <c r="P77" i="5" s="1"/>
  <c r="Q77" i="5" s="1"/>
  <c r="R77" i="5" s="1"/>
  <c r="U77" i="5" s="1"/>
  <c r="D33" i="6" s="1"/>
  <c r="J73" i="5"/>
  <c r="K73" i="5" s="1"/>
  <c r="L73" i="5" s="1"/>
  <c r="P73" i="5" s="1"/>
  <c r="Q73" i="5" s="1"/>
  <c r="R73" i="5" s="1"/>
  <c r="U73" i="5" s="1"/>
  <c r="J96" i="5"/>
  <c r="K96" i="5" s="1"/>
  <c r="L96" i="5" s="1"/>
  <c r="P96" i="5" s="1"/>
  <c r="Q96" i="5" s="1"/>
  <c r="R96" i="5" s="1"/>
  <c r="U96" i="5" s="1"/>
  <c r="D42" i="6" s="1"/>
  <c r="J92" i="5"/>
  <c r="K92" i="5" s="1"/>
  <c r="L92" i="5" s="1"/>
  <c r="P92" i="5" s="1"/>
  <c r="Q92" i="5" s="1"/>
  <c r="R92" i="5" s="1"/>
  <c r="U92" i="5" s="1"/>
  <c r="D38" i="6" s="1"/>
  <c r="J100" i="5"/>
  <c r="K100" i="5" s="1"/>
  <c r="L100" i="5" s="1"/>
  <c r="P100" i="5" s="1"/>
  <c r="Q100" i="5" s="1"/>
  <c r="R100" i="5" s="1"/>
  <c r="U100" i="5" s="1"/>
  <c r="J66" i="5"/>
  <c r="K66" i="5" s="1"/>
  <c r="L66" i="5" s="1"/>
  <c r="P66" i="5" s="1"/>
  <c r="Q66" i="5" s="1"/>
  <c r="R66" i="5" s="1"/>
  <c r="U66" i="5" s="1"/>
  <c r="J42" i="5"/>
  <c r="K42" i="5" s="1"/>
  <c r="L42" i="5" s="1"/>
  <c r="P42" i="5" s="1"/>
  <c r="Q42" i="5" s="1"/>
  <c r="R42" i="5" s="1"/>
  <c r="U42" i="5" s="1"/>
  <c r="D18" i="6" s="1"/>
  <c r="J46" i="5"/>
  <c r="K46" i="5" s="1"/>
  <c r="L46" i="5" s="1"/>
  <c r="P46" i="5" s="1"/>
  <c r="Q46" i="5" s="1"/>
  <c r="R46" i="5" s="1"/>
  <c r="U46" i="5" s="1"/>
  <c r="D22" i="6" s="1"/>
  <c r="J62" i="5"/>
  <c r="K62" i="5" s="1"/>
  <c r="L62" i="5" s="1"/>
  <c r="P62" i="5" s="1"/>
  <c r="Q62" i="5" s="1"/>
  <c r="R62" i="5" s="1"/>
  <c r="U62" i="5" s="1"/>
  <c r="D28" i="6" s="1"/>
  <c r="J58" i="5"/>
  <c r="K58" i="5" s="1"/>
  <c r="L58" i="5" s="1"/>
  <c r="P58" i="5" s="1"/>
  <c r="Q58" i="5" s="1"/>
  <c r="R58" i="5" s="1"/>
  <c r="U58" i="5" s="1"/>
  <c r="D24" i="6" s="1"/>
  <c r="J83" i="5"/>
  <c r="K83" i="5" s="1"/>
  <c r="L83" i="5" s="1"/>
  <c r="P83" i="5" s="1"/>
  <c r="Q83" i="5" s="1"/>
  <c r="R83" i="5" s="1"/>
  <c r="U83" i="5" s="1"/>
  <c r="J79" i="5"/>
  <c r="K79" i="5" s="1"/>
  <c r="L79" i="5" s="1"/>
  <c r="P79" i="5" s="1"/>
  <c r="Q79" i="5" s="1"/>
  <c r="R79" i="5" s="1"/>
  <c r="U79" i="5" s="1"/>
  <c r="D35" i="6" s="1"/>
  <c r="J75" i="5"/>
  <c r="K75" i="5" s="1"/>
  <c r="L75" i="5" s="1"/>
  <c r="P75" i="5" s="1"/>
  <c r="Q75" i="5" s="1"/>
  <c r="R75" i="5" s="1"/>
  <c r="U75" i="5" s="1"/>
  <c r="D31" i="6" s="1"/>
  <c r="J98" i="5"/>
  <c r="K98" i="5" s="1"/>
  <c r="L98" i="5" s="1"/>
  <c r="P98" i="5" s="1"/>
  <c r="Q98" i="5" s="1"/>
  <c r="R98" i="5" s="1"/>
  <c r="U98" i="5" s="1"/>
  <c r="D44" i="6" s="1"/>
  <c r="J94" i="5"/>
  <c r="K94" i="5" s="1"/>
  <c r="L94" i="5" s="1"/>
  <c r="P94" i="5" s="1"/>
  <c r="Q94" i="5" s="1"/>
  <c r="R94" i="5" s="1"/>
  <c r="U94" i="5" s="1"/>
  <c r="D40" i="6" s="1"/>
  <c r="J90" i="5"/>
  <c r="K90" i="5" s="1"/>
  <c r="L90" i="5" s="1"/>
  <c r="P90" i="5" s="1"/>
  <c r="Q90" i="5" s="1"/>
  <c r="R90" i="5" s="1"/>
  <c r="U90" i="5" s="1"/>
  <c r="J20" i="5"/>
  <c r="K20" i="5" s="1"/>
  <c r="L20" i="5" s="1"/>
  <c r="P20" i="5" s="1"/>
  <c r="Q20" i="5" s="1"/>
  <c r="R20" i="5" s="1"/>
  <c r="U20" i="5" s="1"/>
  <c r="J5" i="5"/>
  <c r="K5" i="5" s="1"/>
  <c r="L5" i="5" s="1"/>
  <c r="P5" i="5" s="1"/>
  <c r="Q5" i="5" s="1"/>
  <c r="R5" i="5" s="1"/>
  <c r="U5" i="5" s="1"/>
  <c r="J7" i="5"/>
  <c r="K7" i="5" s="1"/>
  <c r="J9" i="5"/>
  <c r="K9" i="5" s="1"/>
  <c r="J11" i="5"/>
  <c r="J3" i="5"/>
  <c r="K3" i="5" s="1"/>
  <c r="J21" i="5"/>
  <c r="K21" i="5" s="1"/>
  <c r="L21" i="5" s="1"/>
  <c r="P21" i="5" s="1"/>
  <c r="Q21" i="5" s="1"/>
  <c r="R21" i="5" s="1"/>
  <c r="U21" i="5" s="1"/>
  <c r="J4" i="5"/>
  <c r="K4" i="5" s="1"/>
  <c r="J6" i="5"/>
  <c r="K6" i="5" s="1"/>
  <c r="J8" i="5"/>
  <c r="K8" i="5" s="1"/>
  <c r="J10" i="5"/>
  <c r="K10" i="5" s="1"/>
  <c r="J12" i="5"/>
  <c r="K12" i="5" s="1"/>
  <c r="J14" i="5"/>
  <c r="K14" i="5" s="1"/>
  <c r="J13" i="5"/>
  <c r="K13" i="5" s="1"/>
  <c r="J15" i="5"/>
  <c r="K15" i="5" s="1"/>
  <c r="J22" i="5"/>
  <c r="K22" i="5" s="1"/>
  <c r="L22" i="5" s="1"/>
  <c r="P22" i="5" s="1"/>
  <c r="Q22" i="5" s="1"/>
  <c r="R22" i="5" s="1"/>
  <c r="U22" i="5" s="1"/>
  <c r="J23" i="5"/>
  <c r="K23" i="5" s="1"/>
  <c r="L23" i="5" s="1"/>
  <c r="P23" i="5" s="1"/>
  <c r="Q23" i="5" s="1"/>
  <c r="R23" i="5" s="1"/>
  <c r="U23" i="5" s="1"/>
  <c r="J24" i="5"/>
  <c r="K24" i="5" s="1"/>
  <c r="L24" i="5" s="1"/>
  <c r="P24" i="5" s="1"/>
  <c r="Q24" i="5" s="1"/>
  <c r="R24" i="5" s="1"/>
  <c r="U24" i="5" s="1"/>
  <c r="D10" i="6" s="1"/>
  <c r="J25" i="5"/>
  <c r="K25" i="5" s="1"/>
  <c r="L25" i="5" s="1"/>
  <c r="P25" i="5" s="1"/>
  <c r="Q25" i="5" s="1"/>
  <c r="R25" i="5" s="1"/>
  <c r="U25" i="5" s="1"/>
  <c r="D11" i="6" s="1"/>
  <c r="J26" i="5"/>
  <c r="K26" i="5" s="1"/>
  <c r="L26" i="5" s="1"/>
  <c r="P26" i="5" s="1"/>
  <c r="Q26" i="5" s="1"/>
  <c r="R26" i="5" s="1"/>
  <c r="U26" i="5" s="1"/>
  <c r="D12" i="6" s="1"/>
  <c r="J27" i="5"/>
  <c r="K27" i="5" s="1"/>
  <c r="L27" i="5" s="1"/>
  <c r="P27" i="5" s="1"/>
  <c r="Q27" i="5" s="1"/>
  <c r="R27" i="5" s="1"/>
  <c r="U27" i="5" s="1"/>
  <c r="D13" i="6" s="1"/>
  <c r="J28" i="5"/>
  <c r="K28" i="5" s="1"/>
  <c r="L28" i="5" s="1"/>
  <c r="P28" i="5" s="1"/>
  <c r="Q28" i="5" s="1"/>
  <c r="R28" i="5" s="1"/>
  <c r="U28" i="5" s="1"/>
  <c r="D14" i="6" s="1"/>
  <c r="J29" i="5"/>
  <c r="K29" i="5" s="1"/>
  <c r="L29" i="5" s="1"/>
  <c r="P29" i="5" s="1"/>
  <c r="Q29" i="5" s="1"/>
  <c r="R29" i="5" s="1"/>
  <c r="U29" i="5" s="1"/>
  <c r="D15" i="6" s="1"/>
  <c r="J30" i="5"/>
  <c r="K30" i="5" s="1"/>
  <c r="L30" i="5" s="1"/>
  <c r="P30" i="5" s="1"/>
  <c r="Q30" i="5" s="1"/>
  <c r="R30" i="5" s="1"/>
  <c r="U30" i="5" s="1"/>
  <c r="D16" i="6" s="1"/>
  <c r="J31" i="5"/>
  <c r="K31" i="5" s="1"/>
  <c r="L31" i="5" s="1"/>
  <c r="P31" i="5" s="1"/>
  <c r="Q31" i="5" s="1"/>
  <c r="R31" i="5" s="1"/>
  <c r="U31" i="5" s="1"/>
  <c r="J32" i="5"/>
  <c r="K32" i="5" s="1"/>
  <c r="L32" i="5" s="1"/>
  <c r="P32" i="5" s="1"/>
  <c r="Q32" i="5" s="1"/>
  <c r="R32" i="5" s="1"/>
  <c r="U32" i="5" s="1"/>
  <c r="J36" i="3"/>
  <c r="K36" i="3" s="1"/>
  <c r="Q35" i="11" l="1"/>
  <c r="L35" i="11"/>
  <c r="S35" i="11" s="1"/>
  <c r="S38" i="11"/>
  <c r="Q38" i="11"/>
  <c r="R38" i="11"/>
  <c r="T38" i="11"/>
  <c r="Q36" i="11"/>
  <c r="R36" i="11"/>
  <c r="T36" i="11"/>
  <c r="S36" i="11"/>
  <c r="R35" i="11"/>
  <c r="T35" i="11"/>
  <c r="Q39" i="11"/>
  <c r="T39" i="11"/>
  <c r="S39" i="11"/>
  <c r="R39" i="11"/>
  <c r="E37" i="11"/>
  <c r="F37" i="11" s="1"/>
  <c r="J37" i="11" s="1"/>
  <c r="K37" i="11" s="1"/>
  <c r="L37" i="11" s="1"/>
  <c r="T37" i="11" s="1"/>
  <c r="P37" i="3"/>
  <c r="N37" i="3"/>
  <c r="O37" i="3"/>
  <c r="Q37" i="3"/>
  <c r="R37" i="3"/>
  <c r="P38" i="3"/>
  <c r="Q38" i="3"/>
  <c r="N38" i="3"/>
  <c r="O38" i="3"/>
  <c r="K11" i="5"/>
  <c r="L11" i="5" s="1"/>
  <c r="P11" i="5" s="1"/>
  <c r="Q11" i="5" s="1"/>
  <c r="R11" i="5" s="1"/>
  <c r="U11" i="5" s="1"/>
  <c r="D7" i="6" s="1"/>
  <c r="E7" i="5"/>
  <c r="L13" i="5"/>
  <c r="P13" i="5" s="1"/>
  <c r="Q13" i="5" s="1"/>
  <c r="R13" i="5" s="1"/>
  <c r="U13" i="5" s="1"/>
  <c r="D9" i="6" s="1"/>
  <c r="L12" i="5"/>
  <c r="P12" i="5" s="1"/>
  <c r="Q12" i="5" s="1"/>
  <c r="R12" i="5" s="1"/>
  <c r="U12" i="5" s="1"/>
  <c r="D8" i="6" s="1"/>
  <c r="L8" i="5"/>
  <c r="P8" i="5" s="1"/>
  <c r="Q8" i="5" s="1"/>
  <c r="R8" i="5" s="1"/>
  <c r="U8" i="5" s="1"/>
  <c r="D4" i="6" s="1"/>
  <c r="L4" i="5"/>
  <c r="P4" i="5" s="1"/>
  <c r="Q4" i="5" s="1"/>
  <c r="R4" i="5" s="1"/>
  <c r="U4" i="5" s="1"/>
  <c r="L3" i="5"/>
  <c r="P3" i="5" s="1"/>
  <c r="Q3" i="5" s="1"/>
  <c r="R3" i="5" s="1"/>
  <c r="U3" i="5" s="1"/>
  <c r="L9" i="5"/>
  <c r="P9" i="5" s="1"/>
  <c r="Q9" i="5" s="1"/>
  <c r="R9" i="5" s="1"/>
  <c r="U9" i="5" s="1"/>
  <c r="D5" i="6" s="1"/>
  <c r="L15" i="5"/>
  <c r="P15" i="5" s="1"/>
  <c r="Q15" i="5" s="1"/>
  <c r="R15" i="5" s="1"/>
  <c r="U15" i="5" s="1"/>
  <c r="L14" i="5"/>
  <c r="P14" i="5" s="1"/>
  <c r="Q14" i="5" s="1"/>
  <c r="R14" i="5" s="1"/>
  <c r="U14" i="5" s="1"/>
  <c r="L10" i="5"/>
  <c r="P10" i="5" s="1"/>
  <c r="Q10" i="5" s="1"/>
  <c r="R10" i="5" s="1"/>
  <c r="U10" i="5" s="1"/>
  <c r="D6" i="6" s="1"/>
  <c r="L6" i="5"/>
  <c r="P6" i="5" s="1"/>
  <c r="Q6" i="5" s="1"/>
  <c r="R6" i="5" s="1"/>
  <c r="U6" i="5" s="1"/>
  <c r="L7" i="5"/>
  <c r="P7" i="5" s="1"/>
  <c r="Q7" i="5" s="1"/>
  <c r="R7" i="5" s="1"/>
  <c r="U7" i="5" s="1"/>
  <c r="D3" i="6" s="1"/>
  <c r="L56" i="5"/>
  <c r="P56" i="5" s="1"/>
  <c r="Q56" i="5" s="1"/>
  <c r="R56" i="5" s="1"/>
  <c r="U56" i="5" s="1"/>
  <c r="R37" i="11" l="1"/>
  <c r="S37" i="11"/>
  <c r="Q37" i="11"/>
  <c r="L36" i="3"/>
  <c r="R36" i="3" s="1"/>
  <c r="Q36" i="3" l="1"/>
  <c r="P36" i="3"/>
  <c r="O36" i="3"/>
  <c r="N3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CNOOC SES Ltd.</author>
  </authors>
  <commentList>
    <comment ref="A9" authorId="0" shapeId="0" xr:uid="{00000000-0006-0000-0300-000001000000}">
      <text>
        <r>
          <rPr>
            <b/>
            <sz val="8"/>
            <color indexed="81"/>
            <rFont val="Tahoma"/>
            <family val="2"/>
          </rPr>
          <t>CNOOC SES Ltd.:</t>
        </r>
        <r>
          <rPr>
            <sz val="8"/>
            <color indexed="81"/>
            <rFont val="Tahoma"/>
            <family val="2"/>
          </rPr>
          <t xml:space="preserve">
Production Bottom Hole Pressure</t>
        </r>
      </text>
    </comment>
    <comment ref="E9" authorId="0" shapeId="0" xr:uid="{00000000-0006-0000-0300-000002000000}">
      <text>
        <r>
          <rPr>
            <b/>
            <sz val="8"/>
            <color indexed="81"/>
            <rFont val="Tahoma"/>
            <family val="2"/>
          </rPr>
          <t>CNOOC SES Ltd.:</t>
        </r>
        <r>
          <rPr>
            <sz val="8"/>
            <color indexed="81"/>
            <rFont val="Tahoma"/>
            <family val="2"/>
          </rPr>
          <t xml:space="preserve">
Well test</t>
        </r>
      </text>
    </comment>
    <comment ref="F9" authorId="0" shapeId="0" xr:uid="{00000000-0006-0000-0300-000003000000}">
      <text>
        <r>
          <rPr>
            <b/>
            <sz val="8"/>
            <color indexed="81"/>
            <rFont val="Tahoma"/>
            <family val="2"/>
          </rPr>
          <t>CNOOC SES Ltd.:</t>
        </r>
        <r>
          <rPr>
            <sz val="8"/>
            <color indexed="81"/>
            <rFont val="Tahoma"/>
            <family val="2"/>
          </rPr>
          <t xml:space="preserve">
Well Test</t>
        </r>
      </text>
    </comment>
    <comment ref="E12" authorId="0" shapeId="0" xr:uid="{00000000-0006-0000-0300-000004000000}">
      <text>
        <r>
          <rPr>
            <b/>
            <sz val="8"/>
            <color indexed="81"/>
            <rFont val="Tahoma"/>
            <family val="2"/>
          </rPr>
          <t>CNOOC SES Ltd.:</t>
        </r>
        <r>
          <rPr>
            <sz val="8"/>
            <color indexed="81"/>
            <rFont val="Tahoma"/>
            <family val="2"/>
          </rPr>
          <t xml:space="preserve">
From PE
</t>
        </r>
      </text>
    </comment>
    <comment ref="F12" authorId="0" shapeId="0" xr:uid="{00000000-0006-0000-0300-000005000000}">
      <text>
        <r>
          <rPr>
            <b/>
            <sz val="8"/>
            <color indexed="81"/>
            <rFont val="Tahoma"/>
            <family val="2"/>
          </rPr>
          <t>CNOOC SES Ltd.:</t>
        </r>
        <r>
          <rPr>
            <sz val="8"/>
            <color indexed="81"/>
            <rFont val="Tahoma"/>
            <family val="2"/>
          </rPr>
          <t xml:space="preserve">
From PE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CNOOC SES Ltd.</author>
  </authors>
  <commentList>
    <comment ref="A9" authorId="0" shapeId="0" xr:uid="{00000000-0006-0000-0400-000001000000}">
      <text>
        <r>
          <rPr>
            <b/>
            <sz val="8"/>
            <color indexed="81"/>
            <rFont val="Tahoma"/>
            <family val="2"/>
          </rPr>
          <t>CNOOC SES Ltd.:</t>
        </r>
        <r>
          <rPr>
            <sz val="8"/>
            <color indexed="81"/>
            <rFont val="Tahoma"/>
            <family val="2"/>
          </rPr>
          <t xml:space="preserve">
- Expected Rate
- Last Flow Rate</t>
        </r>
      </text>
    </comment>
    <comment ref="B9" authorId="0" shapeId="0" xr:uid="{00000000-0006-0000-0400-000002000000}">
      <text>
        <r>
          <rPr>
            <b/>
            <sz val="8"/>
            <color indexed="81"/>
            <rFont val="Tahoma"/>
            <family val="2"/>
          </rPr>
          <t>CNOOC SES Ltd.:</t>
        </r>
        <r>
          <rPr>
            <sz val="8"/>
            <color indexed="81"/>
            <rFont val="Tahoma"/>
            <family val="2"/>
          </rPr>
          <t xml:space="preserve">
Oracle Discoverer,
Towadmin.welltest</t>
        </r>
      </text>
    </comment>
    <comment ref="C9" authorId="0" shapeId="0" xr:uid="{00000000-0006-0000-0400-000003000000}">
      <text>
        <r>
          <rPr>
            <b/>
            <sz val="8"/>
            <color indexed="81"/>
            <rFont val="Tahoma"/>
            <family val="2"/>
          </rPr>
          <t>CNOOC SES Ltd.:</t>
        </r>
        <r>
          <rPr>
            <sz val="8"/>
            <color indexed="81"/>
            <rFont val="Tahoma"/>
            <family val="2"/>
          </rPr>
          <t xml:space="preserve">
Oracle Discoverer,
Towadmin.welltest</t>
        </r>
      </text>
    </comment>
    <comment ref="D9" authorId="0" shapeId="0" xr:uid="{00000000-0006-0000-0400-000004000000}">
      <text>
        <r>
          <rPr>
            <b/>
            <sz val="8"/>
            <color indexed="81"/>
            <rFont val="Tahoma"/>
            <family val="2"/>
          </rPr>
          <t>CNOOC SES Ltd.:</t>
        </r>
        <r>
          <rPr>
            <sz val="8"/>
            <color indexed="81"/>
            <rFont val="Tahoma"/>
            <family val="2"/>
          </rPr>
          <t xml:space="preserve">
Oracle Discoverer,
Towadmin.welltest</t>
        </r>
      </text>
    </comment>
    <comment ref="E9" authorId="0" shapeId="0" xr:uid="{00000000-0006-0000-0400-000005000000}">
      <text>
        <r>
          <rPr>
            <b/>
            <sz val="8"/>
            <color indexed="81"/>
            <rFont val="Tahoma"/>
            <family val="2"/>
          </rPr>
          <t>CNOOC SES Ltd.:</t>
        </r>
        <r>
          <rPr>
            <sz val="8"/>
            <color indexed="81"/>
            <rFont val="Tahoma"/>
            <family val="2"/>
          </rPr>
          <t xml:space="preserve">
- Completion Guide
- ESP Running Rpt
- Well Info</t>
        </r>
      </text>
    </comment>
    <comment ref="F9" authorId="0" shapeId="0" xr:uid="{00000000-0006-0000-0400-000006000000}">
      <text>
        <r>
          <rPr>
            <b/>
            <sz val="8"/>
            <color indexed="81"/>
            <rFont val="Tahoma"/>
            <family val="2"/>
          </rPr>
          <t>CNOOC SES Ltd.:</t>
        </r>
        <r>
          <rPr>
            <sz val="8"/>
            <color indexed="81"/>
            <rFont val="Tahoma"/>
            <family val="2"/>
          </rPr>
          <t xml:space="preserve">
- WellDB - Date/Time Calculator - Input MD</t>
        </r>
      </text>
    </comment>
    <comment ref="A11" authorId="0" shapeId="0" xr:uid="{00000000-0006-0000-0400-000007000000}">
      <text>
        <r>
          <rPr>
            <b/>
            <sz val="8"/>
            <color indexed="81"/>
            <rFont val="Tahoma"/>
            <family val="2"/>
          </rPr>
          <t>CNOOC SES Ltd.:</t>
        </r>
        <r>
          <rPr>
            <sz val="8"/>
            <color indexed="81"/>
            <rFont val="Tahoma"/>
            <family val="2"/>
          </rPr>
          <t xml:space="preserve">
Based on Pump Performance Curve, that range equal to Desired Flow Rate, then chose Head per stage</t>
        </r>
      </text>
    </comment>
    <comment ref="A13" authorId="0" shapeId="0" xr:uid="{00000000-0006-0000-0400-000008000000}">
      <text>
        <r>
          <rPr>
            <b/>
            <sz val="8"/>
            <color indexed="81"/>
            <rFont val="Tahoma"/>
            <family val="2"/>
          </rPr>
          <t>CNOOC SES Ltd.:</t>
        </r>
        <r>
          <rPr>
            <sz val="8"/>
            <color indexed="81"/>
            <rFont val="Tahoma"/>
            <family val="2"/>
          </rPr>
          <t xml:space="preserve">
Look to the Pump Curve for the produced point. If the required flow rate was a range, using the middle point data</t>
        </r>
      </text>
    </comment>
    <comment ref="B13" authorId="0" shapeId="0" xr:uid="{00000000-0006-0000-0400-000009000000}">
      <text>
        <r>
          <rPr>
            <b/>
            <sz val="8"/>
            <color indexed="81"/>
            <rFont val="Tahoma"/>
            <family val="2"/>
          </rPr>
          <t>CNOOC SES Ltd.:</t>
        </r>
        <r>
          <rPr>
            <sz val="8"/>
            <color indexed="81"/>
            <rFont val="Tahoma"/>
            <family val="2"/>
          </rPr>
          <t xml:space="preserve">
Look to the Pump Curve</t>
        </r>
      </text>
    </comment>
    <comment ref="C13" authorId="0" shapeId="0" xr:uid="{00000000-0006-0000-0400-00000A000000}">
      <text>
        <r>
          <rPr>
            <b/>
            <sz val="8"/>
            <color indexed="81"/>
            <rFont val="Tahoma"/>
            <family val="2"/>
          </rPr>
          <t>CNOOC SES Ltd.:
Oracle Discoverer,
Towadmin.welltest</t>
        </r>
      </text>
    </comment>
    <comment ref="D13" authorId="0" shapeId="0" xr:uid="{00000000-0006-0000-0400-00000B000000}">
      <text>
        <r>
          <rPr>
            <b/>
            <sz val="8"/>
            <color indexed="81"/>
            <rFont val="Tahoma"/>
            <family val="2"/>
          </rPr>
          <t>CNOOC SES Ltd.:</t>
        </r>
        <r>
          <rPr>
            <sz val="8"/>
            <color indexed="81"/>
            <rFont val="Tahoma"/>
            <family val="2"/>
          </rPr>
          <t xml:space="preserve">
Oracle Discoverer,
Towadmin.welltest or from the PE</t>
        </r>
      </text>
    </comment>
    <comment ref="E13" authorId="0" shapeId="0" xr:uid="{00000000-0006-0000-0400-00000C000000}">
      <text>
        <r>
          <rPr>
            <b/>
            <sz val="8"/>
            <color indexed="81"/>
            <rFont val="Tahoma"/>
            <family val="2"/>
          </rPr>
          <t>CNOOC SES Ltd.:</t>
        </r>
        <r>
          <rPr>
            <sz val="8"/>
            <color indexed="81"/>
            <rFont val="Tahoma"/>
            <family val="2"/>
          </rPr>
          <t xml:space="preserve">
Look to the Pump Curve</t>
        </r>
      </text>
    </comment>
    <comment ref="A19" authorId="0" shapeId="0" xr:uid="{00000000-0006-0000-0400-00000D000000}">
      <text>
        <r>
          <rPr>
            <b/>
            <sz val="8"/>
            <color indexed="81"/>
            <rFont val="Tahoma"/>
            <family val="2"/>
          </rPr>
          <t>CNOOC SES Ltd.:</t>
        </r>
        <r>
          <rPr>
            <sz val="8"/>
            <color indexed="81"/>
            <rFont val="Tahoma"/>
            <family val="2"/>
          </rPr>
          <t xml:space="preserve">
Select Pump based on Pump Performance Curve, that range equal to Desired Flow Rate</t>
        </r>
      </text>
    </comment>
    <comment ref="E34" authorId="0" shapeId="0" xr:uid="{00000000-0006-0000-0400-00000E000000}">
      <text>
        <r>
          <rPr>
            <b/>
            <sz val="8"/>
            <color indexed="81"/>
            <rFont val="Tahoma"/>
            <family val="2"/>
          </rPr>
          <t>CNOOC SES Ltd.:</t>
        </r>
        <r>
          <rPr>
            <sz val="8"/>
            <color indexed="81"/>
            <rFont val="Tahoma"/>
            <family val="2"/>
          </rPr>
          <t xml:space="preserve">
Inventory:
44STG =&gt; 45STG</t>
        </r>
      </text>
    </comment>
    <comment ref="C36" authorId="0" shapeId="0" xr:uid="{00000000-0006-0000-0400-00000F000000}">
      <text>
        <r>
          <rPr>
            <b/>
            <sz val="8"/>
            <color indexed="10"/>
            <rFont val="Tahoma"/>
            <family val="2"/>
          </rPr>
          <t xml:space="preserve">Choose from </t>
        </r>
        <r>
          <rPr>
            <b/>
            <sz val="8"/>
            <color indexed="12"/>
            <rFont val="Tahoma"/>
            <family val="2"/>
          </rPr>
          <t>gas calculation sheet</t>
        </r>
        <r>
          <rPr>
            <b/>
            <sz val="8"/>
            <color indexed="10"/>
            <rFont val="Tahoma"/>
            <family val="2"/>
          </rPr>
          <t>. Depend on using gas separator or not. Please check carefully.</t>
        </r>
      </text>
    </comment>
    <comment ref="C42" authorId="0" shapeId="0" xr:uid="{00000000-0006-0000-0400-000010000000}">
      <text>
        <r>
          <rPr>
            <b/>
            <sz val="8"/>
            <color indexed="81"/>
            <rFont val="Tahoma"/>
            <family val="2"/>
          </rPr>
          <t>CNOOC SES Ltd.:</t>
        </r>
        <r>
          <rPr>
            <sz val="8"/>
            <color indexed="81"/>
            <rFont val="Tahoma"/>
            <family val="2"/>
          </rPr>
          <t xml:space="preserve">
Inventory:
273HP+290HP=563HP
So, use tandem motor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powerlift</author>
  </authors>
  <commentList>
    <comment ref="F21" authorId="0" shapeId="0" xr:uid="{00000000-0006-0000-0C00-000001000000}">
      <text>
        <r>
          <rPr>
            <b/>
            <sz val="9"/>
            <color indexed="81"/>
            <rFont val="宋体"/>
            <charset val="134"/>
          </rPr>
          <t>Check the pump curve</t>
        </r>
      </text>
    </comment>
    <comment ref="F52" authorId="0" shapeId="0" xr:uid="{00000000-0006-0000-0C00-000002000000}">
      <text>
        <r>
          <rPr>
            <b/>
            <sz val="9"/>
            <color indexed="81"/>
            <rFont val="宋体"/>
            <charset val="134"/>
          </rPr>
          <t>CT ratio</t>
        </r>
        <r>
          <rPr>
            <sz val="9"/>
            <color indexed="81"/>
            <rFont val="宋体"/>
            <charset val="134"/>
          </rPr>
          <t>=motor namplate amp*1.6</t>
        </r>
      </text>
    </comment>
    <comment ref="F54" authorId="0" shapeId="0" xr:uid="{00000000-0006-0000-0C00-000003000000}">
      <text>
        <r>
          <rPr>
            <b/>
            <sz val="9"/>
            <color indexed="81"/>
            <rFont val="宋体"/>
            <charset val="134"/>
          </rPr>
          <t>Fuse size &gt; motor Namplate amp*6/100</t>
        </r>
        <r>
          <rPr>
            <sz val="9"/>
            <color indexed="81"/>
            <rFont val="宋体"/>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Sarip Hidayat</author>
  </authors>
  <commentList>
    <comment ref="A14" authorId="0" shapeId="0" xr:uid="{00000000-0006-0000-0D00-000001000000}">
      <text>
        <r>
          <rPr>
            <b/>
            <sz val="9"/>
            <color indexed="81"/>
            <rFont val="Tahoma"/>
            <family val="2"/>
          </rPr>
          <t>Sarip Hidayat:</t>
        </r>
        <r>
          <rPr>
            <sz val="9"/>
            <color indexed="81"/>
            <rFont val="Tahoma"/>
            <family val="2"/>
          </rPr>
          <t xml:space="preserve">
90%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 yong</author>
  </authors>
  <commentList>
    <comment ref="N63" authorId="0" shapeId="0" xr:uid="{7BC59152-124E-41C0-A66C-23E2F93EEA21}">
      <text>
        <r>
          <rPr>
            <b/>
            <sz val="9"/>
            <color indexed="81"/>
            <rFont val="宋体"/>
            <charset val="134"/>
          </rPr>
          <t>li yong:</t>
        </r>
        <r>
          <rPr>
            <sz val="9"/>
            <color indexed="81"/>
            <rFont val="宋体"/>
            <charset val="134"/>
          </rPr>
          <t xml:space="preserve">
At least 10ft above BOH</t>
        </r>
      </text>
    </comment>
  </commentList>
</comments>
</file>

<file path=xl/sharedStrings.xml><?xml version="1.0" encoding="utf-8"?>
<sst xmlns="http://schemas.openxmlformats.org/spreadsheetml/2006/main" count="1570" uniqueCount="831">
  <si>
    <t>DATA RESERVOIR</t>
  </si>
  <si>
    <t>DATA SUMUR</t>
  </si>
  <si>
    <t>No</t>
  </si>
  <si>
    <t>Parameter</t>
  </si>
  <si>
    <t>Nilai</t>
  </si>
  <si>
    <t>Satuan</t>
  </si>
  <si>
    <t>SG oil</t>
  </si>
  <si>
    <t>Kedalaman Sumur</t>
  </si>
  <si>
    <t>ft</t>
  </si>
  <si>
    <t>SG air</t>
  </si>
  <si>
    <t>Top Perforasi</t>
  </si>
  <si>
    <t>API</t>
  </si>
  <si>
    <t>Mid Perforasi</t>
  </si>
  <si>
    <t>Temperatur Formasi (Tf)</t>
  </si>
  <si>
    <t>Bottom Perforasi</t>
  </si>
  <si>
    <t>Pump Setting Depth (PSD)</t>
  </si>
  <si>
    <t>DATA PRODUKSI</t>
  </si>
  <si>
    <t>psi</t>
  </si>
  <si>
    <t>OD Casing</t>
  </si>
  <si>
    <t>inch</t>
  </si>
  <si>
    <t>Laju Alir Minyak (Qo)</t>
  </si>
  <si>
    <t>bopd</t>
  </si>
  <si>
    <t>ID Casing</t>
  </si>
  <si>
    <t>Laju Alir Air (Qw)</t>
  </si>
  <si>
    <t>bwpd</t>
  </si>
  <si>
    <t>Laju Alir Fluida (Qt)</t>
  </si>
  <si>
    <t>bfpd</t>
  </si>
  <si>
    <t>DATA POMPA</t>
  </si>
  <si>
    <t>Water Cut</t>
  </si>
  <si>
    <t>Static Fluid Level (SFL)</t>
  </si>
  <si>
    <t>Constanta Friction (C)</t>
  </si>
  <si>
    <t>Working Fluid Level (WFL)</t>
  </si>
  <si>
    <t>Tipe Pompa Terpasang</t>
  </si>
  <si>
    <t>Tekanan Kepala Sumur (Pwh)</t>
  </si>
  <si>
    <t>Jumlah Stage</t>
  </si>
  <si>
    <t>Stages</t>
  </si>
  <si>
    <t>OD Tubing</t>
  </si>
  <si>
    <t>Hz</t>
  </si>
  <si>
    <t>ID Tubing</t>
  </si>
  <si>
    <r>
      <rPr>
        <sz val="11"/>
        <color theme="1"/>
        <rFont val="Calibri"/>
        <family val="2"/>
      </rPr>
      <t>°</t>
    </r>
    <r>
      <rPr>
        <sz val="11"/>
        <color theme="1"/>
        <rFont val="Calibri"/>
        <family val="2"/>
        <scheme val="minor"/>
      </rPr>
      <t>API</t>
    </r>
  </si>
  <si>
    <r>
      <rPr>
        <sz val="11"/>
        <color theme="1"/>
        <rFont val="Calibri"/>
        <family val="2"/>
      </rPr>
      <t>°</t>
    </r>
    <r>
      <rPr>
        <sz val="11"/>
        <color theme="1"/>
        <rFont val="Calibri"/>
        <family val="2"/>
        <scheme val="minor"/>
      </rPr>
      <t>F</t>
    </r>
  </si>
  <si>
    <t xml:space="preserve"> </t>
  </si>
  <si>
    <t>Frekuensi Pompa</t>
  </si>
  <si>
    <t>Ps</t>
  </si>
  <si>
    <t>Pwf</t>
  </si>
  <si>
    <t>Qt</t>
  </si>
  <si>
    <t>BFPD</t>
  </si>
  <si>
    <t>BFPD/psi</t>
  </si>
  <si>
    <t>Pwf, psi</t>
  </si>
  <si>
    <t>Q, bfpd</t>
  </si>
  <si>
    <t>Ket :</t>
  </si>
  <si>
    <t>WFL</t>
  </si>
  <si>
    <t>Gf</t>
  </si>
  <si>
    <t>1. Menghitung SG oil melalui  °API</t>
  </si>
  <si>
    <t xml:space="preserve">     SG</t>
  </si>
  <si>
    <t>2. Penentuan Gf</t>
  </si>
  <si>
    <t>water cut x Sgwater</t>
  </si>
  <si>
    <t xml:space="preserve">     Sgo</t>
  </si>
  <si>
    <t>Oil content x Sgoil</t>
  </si>
  <si>
    <t xml:space="preserve">     Gf</t>
  </si>
  <si>
    <t>Sgmix x 0,433</t>
  </si>
  <si>
    <t>psi/ft</t>
  </si>
  <si>
    <t>3. Penentuan Pwf</t>
  </si>
  <si>
    <t xml:space="preserve">     Pwf</t>
  </si>
  <si>
    <t>(Mid Perforation – WFL) x Gf</t>
  </si>
  <si>
    <t>4. Penentuan Ps</t>
  </si>
  <si>
    <t xml:space="preserve">     Ps</t>
  </si>
  <si>
    <t>(Mid Perforation – SFL ) x Gf</t>
  </si>
  <si>
    <t>5. Penentuan PIP</t>
  </si>
  <si>
    <t xml:space="preserve">     PIP</t>
  </si>
  <si>
    <t>Pwf – {(Mid Perforation – PSD) x Gf}</t>
  </si>
  <si>
    <t>6. Penentuan TDH</t>
  </si>
  <si>
    <r>
      <t xml:space="preserve">     </t>
    </r>
    <r>
      <rPr>
        <sz val="11"/>
        <color theme="1"/>
        <rFont val="Calibri"/>
        <family val="2"/>
      </rPr>
      <t xml:space="preserve">• </t>
    </r>
    <r>
      <rPr>
        <sz val="11"/>
        <color theme="1"/>
        <rFont val="Calibri"/>
        <family val="2"/>
        <scheme val="minor"/>
      </rPr>
      <t>HD</t>
    </r>
  </si>
  <si>
    <t>PSD – (PIP/Gf)</t>
  </si>
  <si>
    <r>
      <t xml:space="preserve">     </t>
    </r>
    <r>
      <rPr>
        <sz val="11"/>
        <color theme="1"/>
        <rFont val="Calibri"/>
        <family val="2"/>
      </rPr>
      <t>• HF</t>
    </r>
  </si>
  <si>
    <t xml:space="preserve">            ‐ Ft</t>
  </si>
  <si>
    <t>ft/1000ft</t>
  </si>
  <si>
    <t xml:space="preserve">            ‐ HF</t>
  </si>
  <si>
    <r>
      <t xml:space="preserve">     </t>
    </r>
    <r>
      <rPr>
        <sz val="11"/>
        <color theme="1"/>
        <rFont val="Calibri"/>
        <family val="2"/>
      </rPr>
      <t>• HT</t>
    </r>
  </si>
  <si>
    <r>
      <t xml:space="preserve">     </t>
    </r>
    <r>
      <rPr>
        <sz val="11"/>
        <color theme="1"/>
        <rFont val="Calibri"/>
        <family val="2"/>
      </rPr>
      <t>• TDH</t>
    </r>
  </si>
  <si>
    <t>HD + HF + HT</t>
  </si>
  <si>
    <t>Tekanan Alir Sumur (Pwf)</t>
  </si>
  <si>
    <t>7. Penentuan Head per Stage</t>
  </si>
  <si>
    <r>
      <t xml:space="preserve">     </t>
    </r>
    <r>
      <rPr>
        <sz val="11"/>
        <color theme="1"/>
        <rFont val="Calibri"/>
        <family val="2"/>
      </rPr>
      <t>• Stage Pompa</t>
    </r>
  </si>
  <si>
    <t>stages</t>
  </si>
  <si>
    <r>
      <t xml:space="preserve">     </t>
    </r>
    <r>
      <rPr>
        <sz val="11"/>
        <color theme="1"/>
        <rFont val="Calibri"/>
        <family val="2"/>
      </rPr>
      <t>• Head per Stages</t>
    </r>
  </si>
  <si>
    <t>ft/stages</t>
  </si>
  <si>
    <t>HP</t>
  </si>
  <si>
    <t>%</t>
  </si>
  <si>
    <t>Qmax</t>
  </si>
  <si>
    <t>Psi</t>
  </si>
  <si>
    <t>PI</t>
  </si>
  <si>
    <t>BFPD/psi/day</t>
  </si>
  <si>
    <t xml:space="preserve">  ρfsc</t>
  </si>
  <si>
    <t>lb/STB</t>
  </si>
  <si>
    <t>Q asumsi</t>
  </si>
  <si>
    <t>PIP</t>
  </si>
  <si>
    <t>HD</t>
  </si>
  <si>
    <t>Ft</t>
  </si>
  <si>
    <t>HF</t>
  </si>
  <si>
    <t>HT</t>
  </si>
  <si>
    <t>TDH</t>
  </si>
  <si>
    <t>ΔP</t>
  </si>
  <si>
    <t>Discharge Pressure/</t>
  </si>
  <si>
    <t>Head/</t>
  </si>
  <si>
    <t>Pump Intake Pressure/P3 (psi)</t>
  </si>
  <si>
    <t>(BFPD)</t>
  </si>
  <si>
    <t>P2 (psi)</t>
  </si>
  <si>
    <t>stage</t>
  </si>
  <si>
    <t>Qtarget</t>
  </si>
  <si>
    <t>Qopt</t>
  </si>
  <si>
    <t xml:space="preserve">Pwf </t>
  </si>
  <si>
    <t>Jumlah Stages</t>
  </si>
  <si>
    <t>HP/Stages</t>
  </si>
  <si>
    <t>EV</t>
  </si>
  <si>
    <t>Pump Eff</t>
  </si>
  <si>
    <t>Pwf baru:</t>
  </si>
  <si>
    <t>Protector</t>
  </si>
  <si>
    <t>Motor</t>
  </si>
  <si>
    <t>Motor HP</t>
  </si>
  <si>
    <t>Motor Volts</t>
  </si>
  <si>
    <t>60 Hz</t>
  </si>
  <si>
    <t>Qasumsi</t>
  </si>
  <si>
    <t>Friction Loss</t>
  </si>
  <si>
    <t>∆p</t>
  </si>
  <si>
    <t>P2</t>
  </si>
  <si>
    <t>Head</t>
  </si>
  <si>
    <t>Head/stage</t>
  </si>
  <si>
    <t>P3</t>
  </si>
  <si>
    <t>Frequency (Hz)</t>
  </si>
  <si>
    <t>Rate (BFPD)</t>
  </si>
  <si>
    <t>Operation Range (BFPD)</t>
  </si>
  <si>
    <t>Head (ft)</t>
  </si>
  <si>
    <t>Motor Load (HP)</t>
  </si>
  <si>
    <t>Min</t>
  </si>
  <si>
    <t>Max</t>
  </si>
  <si>
    <t>58 Hz</t>
  </si>
  <si>
    <t>56 Hz</t>
  </si>
  <si>
    <t>54 Hz</t>
  </si>
  <si>
    <t>52 Hz</t>
  </si>
  <si>
    <t>8. Menentukan Efisiensi</t>
  </si>
  <si>
    <t xml:space="preserve">    Qaktual</t>
  </si>
  <si>
    <t xml:space="preserve">    Qteori</t>
  </si>
  <si>
    <t xml:space="preserve">    • Efisiensi Volumetris</t>
  </si>
  <si>
    <t xml:space="preserve">    • Efisiensi Pompa</t>
  </si>
  <si>
    <t>POMPA TD-1750</t>
  </si>
  <si>
    <t>200 st</t>
  </si>
  <si>
    <t>ρfsc</t>
  </si>
  <si>
    <t>Q</t>
  </si>
  <si>
    <t xml:space="preserve">P3 </t>
  </si>
  <si>
    <t>60hz</t>
  </si>
  <si>
    <t xml:space="preserve">58 Hz </t>
  </si>
  <si>
    <t xml:space="preserve">50 Hz </t>
  </si>
  <si>
    <t>45 Hz</t>
  </si>
  <si>
    <t>50 Hz</t>
  </si>
  <si>
    <t>HP total</t>
  </si>
  <si>
    <t>KVA</t>
  </si>
  <si>
    <t>Kabel</t>
  </si>
  <si>
    <t>Transformer</t>
  </si>
  <si>
    <t>Switchboard</t>
  </si>
  <si>
    <t>150 KVA</t>
  </si>
  <si>
    <t>SG mix</t>
  </si>
  <si>
    <t>TD-1750</t>
  </si>
  <si>
    <t>BFPD/Psi</t>
  </si>
  <si>
    <t>Variasi Frekuensi</t>
  </si>
  <si>
    <t>Jenis Pompa</t>
  </si>
  <si>
    <t>DN 725</t>
  </si>
  <si>
    <t>DN1400</t>
  </si>
  <si>
    <t>Laju Produksi Optimal</t>
  </si>
  <si>
    <t>978,05 BFPD</t>
  </si>
  <si>
    <t>1300 BFPD</t>
  </si>
  <si>
    <t>7,02 bfpd/psi/day</t>
  </si>
  <si>
    <t>6,29 bfpd/psi/day</t>
  </si>
  <si>
    <t>PSD</t>
  </si>
  <si>
    <t>1181 ft</t>
  </si>
  <si>
    <t>1182 ft</t>
  </si>
  <si>
    <t>931,07 ft</t>
  </si>
  <si>
    <t>1089,28 ft</t>
  </si>
  <si>
    <t>211,58 psi</t>
  </si>
  <si>
    <t>144,37 psi</t>
  </si>
  <si>
    <t>Kapasitas Pompa</t>
  </si>
  <si>
    <t>550-925 BFPD</t>
  </si>
  <si>
    <t>960-1700 BFPD</t>
  </si>
  <si>
    <t>76 stages</t>
  </si>
  <si>
    <t>47 stages</t>
  </si>
  <si>
    <t>Efisiensi Volumetris</t>
  </si>
  <si>
    <t>Efisiensi Pompa</t>
  </si>
  <si>
    <t>-</t>
  </si>
  <si>
    <t>400 Series – 66 L</t>
  </si>
  <si>
    <t>Jenis Motor</t>
  </si>
  <si>
    <t xml:space="preserve">Series 456 </t>
  </si>
  <si>
    <t>series 456</t>
  </si>
  <si>
    <t>HP Motor</t>
  </si>
  <si>
    <t>10 HP</t>
  </si>
  <si>
    <t>Tegangan Motor</t>
  </si>
  <si>
    <t>440 volts</t>
  </si>
  <si>
    <t>Arus Listrik</t>
  </si>
  <si>
    <t>15 ampere</t>
  </si>
  <si>
    <r>
      <t xml:space="preserve">3KV Round Cable With Galvanized Armor (340 </t>
    </r>
    <r>
      <rPr>
        <vertAlign val="superscript"/>
        <sz val="12"/>
        <color rgb="FF000000"/>
        <rFont val="Times New Roman"/>
        <family val="1"/>
      </rPr>
      <t>o</t>
    </r>
    <r>
      <rPr>
        <sz val="12"/>
        <color rgb="FF000000"/>
        <rFont val="Times New Roman"/>
        <family val="1"/>
      </rPr>
      <t>F Temperature Rating) tipe #4 Solid</t>
    </r>
  </si>
  <si>
    <t>11,76 KVA</t>
  </si>
  <si>
    <t>DPH 2 Jenis 72 Ukuran 2 Tegangan Maksimum 600 Volt, 25 HP, Beban Arus Maksimum 50 Ampere</t>
  </si>
  <si>
    <t>1300-2600 BFPD</t>
  </si>
  <si>
    <t>200 stages</t>
  </si>
  <si>
    <t>100 HP</t>
  </si>
  <si>
    <t>100 MDFH Jenis 76A ukuran 3 1500 Volt, 150 HP, 100 A</t>
  </si>
  <si>
    <t>2400 BFPD</t>
  </si>
  <si>
    <t>7292,94 ft</t>
  </si>
  <si>
    <t>4957,77 ft</t>
  </si>
  <si>
    <t>1330,95 psi</t>
  </si>
  <si>
    <t>Evaluasi Pompa Terpasang</t>
  </si>
  <si>
    <t>Pompa Terpasang</t>
  </si>
  <si>
    <t>(psi)</t>
  </si>
  <si>
    <t>Stage</t>
  </si>
  <si>
    <t>Qaktual</t>
  </si>
  <si>
    <t>Qteori</t>
  </si>
  <si>
    <t>(%)</t>
  </si>
  <si>
    <t>EP</t>
  </si>
  <si>
    <t xml:space="preserve">     SGmix</t>
  </si>
  <si>
    <t xml:space="preserve">     Sgw</t>
  </si>
  <si>
    <t>Sgw + Sgo</t>
  </si>
  <si>
    <r>
      <t xml:space="preserve">3KV Round Cable With Galvanized Armor (340 </t>
    </r>
    <r>
      <rPr>
        <vertAlign val="superscript"/>
        <sz val="11"/>
        <color rgb="FF000000"/>
        <rFont val="Calibri"/>
        <family val="2"/>
        <scheme val="minor"/>
      </rPr>
      <t>o</t>
    </r>
    <r>
      <rPr>
        <sz val="11"/>
        <color rgb="FF000000"/>
        <rFont val="Calibri"/>
        <family val="2"/>
        <scheme val="minor"/>
      </rPr>
      <t>F Temperature Rating) tipe #4 Solid</t>
    </r>
  </si>
  <si>
    <t>1,30 bfpd/psi/day</t>
  </si>
  <si>
    <t>1120 volts</t>
  </si>
  <si>
    <t>57 ampere</t>
  </si>
  <si>
    <t>456 Series – 66 L</t>
  </si>
  <si>
    <t>Optimasi Pompa</t>
  </si>
  <si>
    <t>HP/stage</t>
  </si>
  <si>
    <t>Menentukan Head/Stage</t>
  </si>
  <si>
    <t>Panjang Tubing</t>
  </si>
  <si>
    <t>Gas Liquid Ratio (GLR)</t>
  </si>
  <si>
    <t>SCF/STB</t>
  </si>
  <si>
    <t>SN-2600</t>
  </si>
  <si>
    <t>Qb</t>
  </si>
  <si>
    <t>pb</t>
  </si>
  <si>
    <t>QN-70</t>
  </si>
  <si>
    <t>Tubing pressure</t>
  </si>
  <si>
    <t>PBHP</t>
  </si>
  <si>
    <t>TVD PSD</t>
  </si>
  <si>
    <t>gf</t>
  </si>
  <si>
    <t>Sgmix</t>
  </si>
  <si>
    <t>Pb</t>
  </si>
  <si>
    <t>tmpf</t>
  </si>
  <si>
    <t>pfsc</t>
  </si>
  <si>
    <t>Tubing Pressure</t>
  </si>
  <si>
    <t>=</t>
  </si>
  <si>
    <t>Head /stages</t>
  </si>
  <si>
    <t>lb/stb</t>
  </si>
  <si>
    <t>lb/day</t>
  </si>
  <si>
    <t>range capasity</t>
  </si>
  <si>
    <t>2500-3000</t>
  </si>
  <si>
    <t>Static Bottom Hole Pressure (SBHP)</t>
  </si>
  <si>
    <t>Flowing Bottom Hole Pressure (FBHP)</t>
  </si>
  <si>
    <t>SG gas</t>
  </si>
  <si>
    <t>SG water</t>
  </si>
  <si>
    <t>Tekanan Bubble Point (Pb)</t>
  </si>
  <si>
    <t>Tekanan Formasi (Ps)</t>
  </si>
  <si>
    <t>Kedalaman Sumur (MD)</t>
  </si>
  <si>
    <t>Kedalaman Sumur (TVD)</t>
  </si>
  <si>
    <t>Gas Oil Ratio (GOR)</t>
  </si>
  <si>
    <t>Horse Power</t>
  </si>
  <si>
    <t>Q target</t>
  </si>
  <si>
    <t>Qx</t>
  </si>
  <si>
    <t>Keterangan</t>
  </si>
  <si>
    <t>Q Target</t>
  </si>
  <si>
    <t>Data Primer</t>
  </si>
  <si>
    <t>Gas Calculation</t>
  </si>
  <si>
    <t>Well Name:</t>
  </si>
  <si>
    <t>Business Unit：</t>
  </si>
  <si>
    <t>THE WELL DATA</t>
  </si>
  <si>
    <t>PUMP INTAKE PRESSURE (psi)</t>
  </si>
  <si>
    <t>WATER CUT (%)</t>
  </si>
  <si>
    <t>Fliud  production (bfpd)</t>
  </si>
  <si>
    <t>GOR (scf/stb)</t>
  </si>
  <si>
    <t>BHT (F)</t>
  </si>
  <si>
    <t>Gas Compressibility (0.81-0.91)</t>
  </si>
  <si>
    <t>Water Specific Gravity (Rw)</t>
  </si>
  <si>
    <t>Oil API</t>
  </si>
  <si>
    <t>Oil  Specific Gravity (Ro)</t>
  </si>
  <si>
    <t>Gas Specific Gravity (Rg)</t>
  </si>
  <si>
    <t>Bubble Point Pressure (psi)</t>
  </si>
  <si>
    <t>Total Produced Gas (MCF)
Tg</t>
  </si>
  <si>
    <t>Rg</t>
  </si>
  <si>
    <t>First Step: calculate the Gas/Oil Ratio:(Rs)</t>
  </si>
  <si>
    <t>Supposed:</t>
  </si>
  <si>
    <t>A=</t>
  </si>
  <si>
    <r>
      <t>10</t>
    </r>
    <r>
      <rPr>
        <vertAlign val="superscript"/>
        <sz val="8"/>
        <rFont val="Palatino Linotype"/>
        <family val="1"/>
      </rPr>
      <t>0.0125*API</t>
    </r>
  </si>
  <si>
    <t>B=</t>
  </si>
  <si>
    <r>
      <t>10</t>
    </r>
    <r>
      <rPr>
        <vertAlign val="superscript"/>
        <sz val="8"/>
        <rFont val="Palatino Linotype"/>
        <family val="1"/>
      </rPr>
      <t>0.00091*F</t>
    </r>
  </si>
  <si>
    <t>C=</t>
  </si>
  <si>
    <t>PIP/18</t>
  </si>
  <si>
    <t>Rs=</t>
  </si>
  <si>
    <r>
      <t>Rg*(A*C/B)</t>
    </r>
    <r>
      <rPr>
        <vertAlign val="superscript"/>
        <sz val="8"/>
        <rFont val="Palatino Linotype"/>
        <family val="1"/>
      </rPr>
      <t>1.2048</t>
    </r>
  </si>
  <si>
    <t>Second step: find the formation volume factor(Bo)</t>
  </si>
  <si>
    <t>D=</t>
  </si>
  <si>
    <r>
      <t>(Rg/Ro)</t>
    </r>
    <r>
      <rPr>
        <vertAlign val="superscript"/>
        <sz val="8"/>
        <rFont val="Palatino Linotype"/>
        <family val="1"/>
      </rPr>
      <t>0.5</t>
    </r>
  </si>
  <si>
    <t>E=</t>
  </si>
  <si>
    <t>Rs*D+1.25*T</t>
  </si>
  <si>
    <t>F=</t>
  </si>
  <si>
    <r>
      <t>0.000147*E</t>
    </r>
    <r>
      <rPr>
        <vertAlign val="superscript"/>
        <sz val="8"/>
        <rFont val="Palatino Linotype"/>
        <family val="1"/>
      </rPr>
      <t>1.175</t>
    </r>
  </si>
  <si>
    <t>Bo=</t>
  </si>
  <si>
    <t>0.972+F</t>
  </si>
  <si>
    <t>Third step: determine the gas volume factor(Bg)</t>
  </si>
  <si>
    <t>Bg=</t>
  </si>
  <si>
    <t>5.04*Z*(460+T)/P</t>
  </si>
  <si>
    <t>bbl/mcf</t>
  </si>
  <si>
    <t>Forth step: determine Gas in solution at PIP(Sg)</t>
  </si>
  <si>
    <t>Sg=</t>
  </si>
  <si>
    <t>Fluid production(1-warter cut)*Rs/1000</t>
  </si>
  <si>
    <t>mcf</t>
  </si>
  <si>
    <t>Fifth step: determine free gas(Fg)</t>
  </si>
  <si>
    <t>Fg=</t>
  </si>
  <si>
    <t>Tg-Sg</t>
  </si>
  <si>
    <t>Six step: determine oil volume at PIP(Vo)</t>
  </si>
  <si>
    <t>Vo=</t>
  </si>
  <si>
    <t>Fluid production(1-warter cut)*Bo</t>
  </si>
  <si>
    <t>Seventh step: determine gas volume at PIP(Vg)</t>
  </si>
  <si>
    <t>Vg=</t>
  </si>
  <si>
    <t>Fg*Bg</t>
  </si>
  <si>
    <t>bgpd</t>
  </si>
  <si>
    <t>Eighth step: determine total volume at PIP(Vt)</t>
  </si>
  <si>
    <t>Vt=</t>
  </si>
  <si>
    <t>Vo+Vg+Vw</t>
  </si>
  <si>
    <t>Ninth step: determine % free gas in intake(GLR)</t>
  </si>
  <si>
    <t>GLR=</t>
  </si>
  <si>
    <t>Vg/Vt</t>
  </si>
  <si>
    <t>Determine the Composite Sp. Gr.:(without the gas separator)</t>
  </si>
  <si>
    <t>TMPF=</t>
  </si>
  <si>
    <t>((BOPD*Sp.Gr.oil + BWPD *Sp.Gr.water)*62.4*5.6146)+(GOR * BOPD * Sp.Gr. Gas * 0.0752)</t>
  </si>
  <si>
    <t>lbs/day</t>
  </si>
  <si>
    <t>Composite Sp. Gr.=</t>
  </si>
  <si>
    <t>TMPF/(Vt *5.6146 * 62.4)</t>
  </si>
  <si>
    <t xml:space="preserve"> Assume(the singe gas separator): 
                 1. 90% efficiency within the 15% free gas.
                 2. 80% efiiciency the 15%-30% free gas.
                 3. 60% efficiency over the 30% free gas.</t>
  </si>
  <si>
    <t xml:space="preserve">First Calculation( install the single gas separator):  </t>
  </si>
  <si>
    <t xml:space="preserve">Separator  efiiciency= </t>
  </si>
  <si>
    <t>Vg1=</t>
  </si>
  <si>
    <t>Vg*(1-Separator efiiciency)</t>
  </si>
  <si>
    <t>Vt1=</t>
  </si>
  <si>
    <t>Vo+Vg1+Vw</t>
  </si>
  <si>
    <t>GLR1=</t>
  </si>
  <si>
    <t>Vg1/Vt1</t>
  </si>
  <si>
    <t>Determine the Composite Sp. Gr.:(with the single gas separator)</t>
  </si>
  <si>
    <t>((BOPD*Sp.Gr.oil + BWPD *Sp.Gr.water)*62.4*5.6146)+(Vg1/Bg+Sg)*1000* Sp.Gr. Gas * 0.0752</t>
  </si>
  <si>
    <t>TMPF/(Vt1 *5.6146 * 62.4)</t>
  </si>
  <si>
    <t>Second Calculation: Use the single gas separator, If the free gas  still more than 15%, the tandem gas separtor should be uesd. Its calculation of efficiency as per assuming above.</t>
  </si>
  <si>
    <t>Vg2=</t>
  </si>
  <si>
    <t>Vt2=</t>
  </si>
  <si>
    <t>% free gas=</t>
  </si>
  <si>
    <t>Determine the Composite Sp. Gr.:(with the tandem gas separators)</t>
  </si>
  <si>
    <t>((BOPD*Sp.Gr.oil + BWPD *Sp.Gr.water)*62.4*5.6146)+(Vg2/Bg+Sg)*1000* Sp.Gr. Gas * 0.0752</t>
  </si>
  <si>
    <t>TMPF/(Vt2 *5.6146*62.4)</t>
  </si>
  <si>
    <t>Determine the Formulation Volume</t>
  </si>
  <si>
    <t>INTB-12</t>
  </si>
  <si>
    <t>PUMP SIZING</t>
  </si>
  <si>
    <t>NBU</t>
  </si>
  <si>
    <t>Desired flow rate:</t>
  </si>
  <si>
    <t>BHT</t>
  </si>
  <si>
    <t>GOR</t>
  </si>
  <si>
    <t>Pump setting depth</t>
  </si>
  <si>
    <t xml:space="preserve">Actual Pump Setting Depth </t>
  </si>
  <si>
    <t>PSI</t>
  </si>
  <si>
    <r>
      <t>o</t>
    </r>
    <r>
      <rPr>
        <sz val="10"/>
        <rFont val="Palatino Linotype"/>
        <family val="1"/>
      </rPr>
      <t>F</t>
    </r>
  </si>
  <si>
    <t>TVD</t>
  </si>
  <si>
    <t>Head per stg</t>
  </si>
  <si>
    <t>Hp per stg</t>
  </si>
  <si>
    <t>Tubing P</t>
  </si>
  <si>
    <t>Tubing friction</t>
  </si>
  <si>
    <t xml:space="preserve">   Tubing size</t>
  </si>
  <si>
    <t>feet</t>
  </si>
  <si>
    <t>Hp</t>
  </si>
  <si>
    <t>per 1000 feet</t>
  </si>
  <si>
    <t xml:space="preserve">  </t>
  </si>
  <si>
    <t>The Pump selection</t>
  </si>
  <si>
    <t>Desired Q =</t>
  </si>
  <si>
    <t>Based on the pump curve, the suitable pump is</t>
  </si>
  <si>
    <t>:</t>
  </si>
  <si>
    <t>QN70ARC</t>
  </si>
  <si>
    <t>The head per stages, H is</t>
  </si>
  <si>
    <r>
      <rPr>
        <sz val="10"/>
        <rFont val="Palatino Linotype"/>
        <family val="1"/>
      </rPr>
      <t>The pump seting depth, PSD is</t>
    </r>
  </si>
  <si>
    <t>The TVD is</t>
  </si>
  <si>
    <t>According to the database, the present PBHP is</t>
  </si>
  <si>
    <t>feet</t>
    <phoneticPr fontId="0" type="noConversion"/>
  </si>
  <si>
    <r>
      <rPr>
        <sz val="10"/>
        <rFont val="Palatino Linotype"/>
        <family val="1"/>
      </rPr>
      <t>The present tubing presure(Tb) is</t>
    </r>
  </si>
  <si>
    <r>
      <t xml:space="preserve">The </t>
    </r>
    <r>
      <rPr>
        <sz val="10"/>
        <rFont val="Palatino Linotype"/>
        <family val="1"/>
      </rPr>
      <t xml:space="preserve">Total </t>
    </r>
    <r>
      <rPr>
        <sz val="10"/>
        <rFont val="Palatino Linotype"/>
        <family val="1"/>
      </rPr>
      <t>tubing friction</t>
    </r>
  </si>
  <si>
    <r>
      <t>T</t>
    </r>
    <r>
      <rPr>
        <sz val="10"/>
        <rFont val="Palatino Linotype"/>
        <family val="1"/>
      </rPr>
      <t>he Net Lift</t>
    </r>
  </si>
  <si>
    <t>Head@Flow</t>
  </si>
  <si>
    <t>Pump stages</t>
  </si>
  <si>
    <t>Head@flow/Head per STG</t>
    <phoneticPr fontId="0" type="noConversion"/>
  </si>
  <si>
    <t>So the stages of the pump we choose are</t>
  </si>
  <si>
    <t>STGS</t>
  </si>
  <si>
    <t>73+73</t>
  </si>
  <si>
    <t>Composite Sp. Gr.</t>
  </si>
  <si>
    <t>The HP per stg is</t>
  </si>
  <si>
    <t>The HP of pump is</t>
  </si>
  <si>
    <t>The HP per stg * stgs</t>
  </si>
  <si>
    <t>The motor HP</t>
  </si>
  <si>
    <t>The HP of Pump + The HP of Separator/Intake+ The HP of Protector</t>
  </si>
  <si>
    <t>So Motor HP is</t>
  </si>
  <si>
    <t>273HP/2688V/58A</t>
  </si>
  <si>
    <t>TP</t>
  </si>
  <si>
    <t>rate</t>
  </si>
  <si>
    <t>bbl</t>
  </si>
  <si>
    <t>Head/stages (ft/stg)</t>
  </si>
  <si>
    <t>(ft/stg)</t>
  </si>
  <si>
    <t>head/stages (m/stg)</t>
  </si>
  <si>
    <t>(m/stg)</t>
  </si>
  <si>
    <t>voleme (m3/d)</t>
  </si>
  <si>
    <t xml:space="preserve"> (m3/d)</t>
  </si>
  <si>
    <t>New Head per stg</t>
  </si>
  <si>
    <t>RANGE</t>
  </si>
  <si>
    <t>BARIS</t>
  </si>
  <si>
    <t>Total Baris</t>
  </si>
  <si>
    <t>NILAI TERDEKAT</t>
  </si>
  <si>
    <t>HASIL</t>
  </si>
  <si>
    <t>Head @FLOW</t>
  </si>
  <si>
    <t>Net Lift</t>
  </si>
  <si>
    <t>The Total tubing friction</t>
  </si>
  <si>
    <t>New Frequency</t>
  </si>
  <si>
    <t>Current Frequency</t>
  </si>
  <si>
    <t>Mhp</t>
  </si>
  <si>
    <t>Rate @New Hz</t>
  </si>
  <si>
    <t>Rate</t>
  </si>
  <si>
    <t>BHP</t>
  </si>
  <si>
    <t>Head @New Hz</t>
  </si>
  <si>
    <t>Max HZ Motor</t>
  </si>
  <si>
    <t xml:space="preserve">Preparing step : 
1. Please make sure wiring cable VSD to motor is correct.
2. Function test VSD before start up from 30 hz until 60 hz and record the data output from VSD.
3. Make sure wiring sensor and sensor is working.
4. Make sure wiring CTand setting Tap CT is correct.
5 .Make sure all valve is easy to open and no back flow from production header to tubing.
6. Make sure amp chart pen on zero position and daily mode.
Start up step :
1. Start up VSD from 30Hz until 45 Hz with interval 5Hz/ 5mnt (Full open choke) and monitor TP, CP, RA and data sensor 
2. Frequency @45Hz until 50Hz with interval 1Hz/ 3mnt and monitor TP, CP, RA and data sensor 
3. If frequency already @50Hz , monitor TP, CP, RA and data sensor
4. If the TP/RA not stable, please adjust the valve choke until stable
5. If TP/RA stable, please check rate.
</t>
  </si>
  <si>
    <t>SURFACE VOLTAGE CALCULATION</t>
    <phoneticPr fontId="3" type="noConversion"/>
  </si>
  <si>
    <t>Customer:</t>
  </si>
  <si>
    <t xml:space="preserve">Delivery Date: </t>
    <phoneticPr fontId="3" type="noConversion"/>
  </si>
  <si>
    <t>Well No.:</t>
  </si>
  <si>
    <t>Powerlift Crew:</t>
    <phoneticPr fontId="3" type="noConversion"/>
  </si>
  <si>
    <t>Field Name:</t>
  </si>
  <si>
    <t>Barge Name:</t>
    <phoneticPr fontId="3" type="noConversion"/>
  </si>
  <si>
    <t>Pump Setting Depth</t>
  </si>
  <si>
    <t>FT</t>
  </si>
  <si>
    <t xml:space="preserve">Pump Type </t>
  </si>
  <si>
    <t>Number of Stages</t>
  </si>
  <si>
    <t>Nameplate Amps</t>
  </si>
  <si>
    <t>Nameplate Volts</t>
  </si>
  <si>
    <t>HP / Stages</t>
  </si>
  <si>
    <t>Cable Type</t>
  </si>
  <si>
    <t>MLE Length       ( A )</t>
  </si>
  <si>
    <t>Cable Length     ( B )</t>
  </si>
  <si>
    <t>Sub-Sea Length ( C )</t>
  </si>
  <si>
    <t>FIELD</t>
  </si>
  <si>
    <t>TEMP.</t>
  </si>
  <si>
    <t xml:space="preserve">( A )  </t>
  </si>
  <si>
    <t>X</t>
  </si>
  <si>
    <t>/ 1000</t>
  </si>
  <si>
    <t>( a )</t>
  </si>
  <si>
    <t>CORRECTION</t>
  </si>
  <si>
    <t>Length of MLE</t>
  </si>
  <si>
    <t>Volt Drop/1000ft #4</t>
  </si>
  <si>
    <t>Temp Correction</t>
  </si>
  <si>
    <t>Volt drop on MLE</t>
  </si>
  <si>
    <t>AIDA</t>
  </si>
  <si>
    <t>ARIYANI</t>
  </si>
  <si>
    <t xml:space="preserve">( B )  </t>
  </si>
  <si>
    <t>( b )</t>
  </si>
  <si>
    <t>CHESY</t>
  </si>
  <si>
    <t>Length of Cable</t>
  </si>
  <si>
    <t>Volt Drop/1000ft #1</t>
  </si>
  <si>
    <t>Volt drop on Cable</t>
  </si>
  <si>
    <t>CINTA</t>
  </si>
  <si>
    <t>FARIDA</t>
  </si>
  <si>
    <t xml:space="preserve">( C )  </t>
  </si>
  <si>
    <t>( c )</t>
  </si>
  <si>
    <t>GITA</t>
  </si>
  <si>
    <t>Length of SSCable</t>
  </si>
  <si>
    <t>No Temp Correction</t>
  </si>
  <si>
    <t>Volt drop on SSCable</t>
  </si>
  <si>
    <t>INDRI</t>
  </si>
  <si>
    <t>INTAN</t>
  </si>
  <si>
    <t>( a ) +</t>
  </si>
  <si>
    <t>( b ) +</t>
  </si>
  <si>
    <t>( c ) +</t>
  </si>
  <si>
    <t>KAMILA</t>
  </si>
  <si>
    <t>Volts @ Transformer</t>
  </si>
  <si>
    <t>KARTINI</t>
  </si>
  <si>
    <t>KRISNA</t>
  </si>
  <si>
    <t>LITA</t>
  </si>
  <si>
    <r>
      <t>E</t>
    </r>
    <r>
      <rPr>
        <sz val="10"/>
        <rFont val="Arial"/>
        <family val="2"/>
      </rPr>
      <t xml:space="preserve">STIMATED </t>
    </r>
    <r>
      <rPr>
        <sz val="11"/>
        <rFont val="Arial"/>
        <family val="2"/>
      </rPr>
      <t>T</t>
    </r>
    <r>
      <rPr>
        <sz val="10"/>
        <rFont val="Arial"/>
        <family val="2"/>
      </rPr>
      <t xml:space="preserve">RANSFORMER </t>
    </r>
    <r>
      <rPr>
        <sz val="11"/>
        <rFont val="Arial"/>
        <family val="2"/>
      </rPr>
      <t>L</t>
    </r>
    <r>
      <rPr>
        <sz val="10"/>
        <rFont val="Arial"/>
        <family val="2"/>
      </rPr>
      <t>OSSES   =  2</t>
    </r>
    <r>
      <rPr>
        <b/>
        <sz val="10"/>
        <rFont val="Arial"/>
        <family val="2"/>
      </rPr>
      <t>.5</t>
    </r>
    <r>
      <rPr>
        <sz val="10"/>
        <rFont val="Arial"/>
        <family val="2"/>
      </rPr>
      <t xml:space="preserve">% X </t>
    </r>
    <r>
      <rPr>
        <i/>
        <sz val="10"/>
        <rFont val="Arial"/>
        <family val="2"/>
      </rPr>
      <t>LOADED     =</t>
    </r>
  </si>
  <si>
    <t>NORA</t>
  </si>
  <si>
    <t>RAMA</t>
  </si>
  <si>
    <r>
      <t>T</t>
    </r>
    <r>
      <rPr>
        <b/>
        <sz val="10"/>
        <rFont val="Arial"/>
        <family val="2"/>
      </rPr>
      <t xml:space="preserve">OTAL </t>
    </r>
    <r>
      <rPr>
        <b/>
        <sz val="11"/>
        <rFont val="Arial"/>
        <family val="2"/>
      </rPr>
      <t>V</t>
    </r>
    <r>
      <rPr>
        <b/>
        <sz val="10"/>
        <rFont val="Arial"/>
        <family val="2"/>
      </rPr>
      <t xml:space="preserve">OLTAGE </t>
    </r>
    <r>
      <rPr>
        <b/>
        <sz val="11"/>
        <rFont val="Arial"/>
        <family val="2"/>
      </rPr>
      <t>R</t>
    </r>
    <r>
      <rPr>
        <b/>
        <sz val="10"/>
        <rFont val="Arial"/>
        <family val="2"/>
      </rPr>
      <t>EQUIRED</t>
    </r>
    <r>
      <rPr>
        <b/>
        <sz val="11"/>
        <rFont val="Arial"/>
        <family val="2"/>
      </rPr>
      <t xml:space="preserve"> F</t>
    </r>
    <r>
      <rPr>
        <b/>
        <sz val="10"/>
        <rFont val="Arial"/>
        <family val="2"/>
      </rPr>
      <t xml:space="preserve">ROM </t>
    </r>
    <r>
      <rPr>
        <b/>
        <sz val="11"/>
        <rFont val="Arial"/>
        <family val="2"/>
      </rPr>
      <t>T</t>
    </r>
    <r>
      <rPr>
        <b/>
        <sz val="10"/>
        <rFont val="Arial"/>
        <family val="2"/>
      </rPr>
      <t xml:space="preserve">RANSFORMER =102.5% X LOADED </t>
    </r>
  </si>
  <si>
    <t>SELATAN</t>
  </si>
  <si>
    <t>SUNDARI</t>
  </si>
  <si>
    <t>Max Surface KVA @ 60 HZ</t>
  </si>
  <si>
    <t>Calculated using NP amps.</t>
  </si>
  <si>
    <t>TITI</t>
  </si>
  <si>
    <t>VITA</t>
  </si>
  <si>
    <t>WANDA</t>
  </si>
  <si>
    <t>Required CT ratio</t>
  </si>
  <si>
    <t>200:5</t>
  </si>
  <si>
    <t>Required surface voltage</t>
  </si>
  <si>
    <t>Volts</t>
  </si>
  <si>
    <t>WIDURI</t>
  </si>
  <si>
    <t>WINDRI</t>
  </si>
  <si>
    <t>Required Fuse size</t>
  </si>
  <si>
    <t>6R</t>
  </si>
  <si>
    <t>YVONNE</t>
  </si>
  <si>
    <t>ZELDA</t>
  </si>
  <si>
    <t>Complete by</t>
  </si>
  <si>
    <t>Requested production rate</t>
  </si>
  <si>
    <t>GIVEN CT RATIO</t>
  </si>
  <si>
    <t>GIVEN VOLTAGE :</t>
  </si>
  <si>
    <t>CNOOC ENG NAME</t>
  </si>
  <si>
    <t>SIGNED :</t>
  </si>
  <si>
    <t>TO BE COMPLETED  :</t>
  </si>
  <si>
    <t>PEMILIHAN KAPASITAS TRANSFORMER</t>
  </si>
  <si>
    <t>HP MOTOR</t>
  </si>
  <si>
    <t>DAYA MOTOR (KVA)</t>
  </si>
  <si>
    <t>PEMILIHAN TRANSFORMER</t>
  </si>
  <si>
    <t>KAPASITAS AMPERE TRANSFORMER</t>
  </si>
  <si>
    <t>KAPASITAS TRANSFORMER KVA</t>
  </si>
  <si>
    <t>TEGANGAN MOTOR</t>
  </si>
  <si>
    <t>AMPERE MOTOR</t>
  </si>
  <si>
    <t>STATUS</t>
  </si>
  <si>
    <t>MAX HP TRANSFORMER</t>
  </si>
  <si>
    <t>SELISIH AMPERE</t>
  </si>
  <si>
    <t>IDEAL</t>
  </si>
  <si>
    <t xml:space="preserve">keterangan : </t>
  </si>
  <si>
    <t xml:space="preserve"> = HARUS DI ISI NILAINYA</t>
  </si>
  <si>
    <t xml:space="preserve"> = HASIL PERHITUNGAN</t>
  </si>
  <si>
    <t>CREATED BY SARIP HIDAYAT</t>
  </si>
  <si>
    <t>md</t>
  </si>
  <si>
    <t>tvd</t>
  </si>
  <si>
    <t>setting depth</t>
  </si>
  <si>
    <t>PBHP (PSI)</t>
  </si>
  <si>
    <t>Keterangan :</t>
  </si>
  <si>
    <t>fluit level</t>
  </si>
  <si>
    <t>Daya Pada Transformer sudah mengandung akar tiga (1.73)</t>
  </si>
  <si>
    <t>SBHP</t>
  </si>
  <si>
    <t>RATE</t>
  </si>
  <si>
    <t>P.I</t>
  </si>
  <si>
    <t>ft to PSI</t>
  </si>
  <si>
    <t>FEET</t>
  </si>
  <si>
    <t>(Psi)</t>
  </si>
  <si>
    <t>PSI to FT</t>
  </si>
  <si>
    <t>PRESSURE</t>
  </si>
  <si>
    <t>(Ft)</t>
  </si>
  <si>
    <t>Date</t>
  </si>
  <si>
    <t>Company</t>
  </si>
  <si>
    <t>Field</t>
  </si>
  <si>
    <t>Well</t>
  </si>
  <si>
    <t>volts</t>
  </si>
  <si>
    <t>Amps</t>
  </si>
  <si>
    <t>Frequency</t>
  </si>
  <si>
    <t>HZ</t>
  </si>
  <si>
    <t>Pump</t>
  </si>
  <si>
    <t>Type</t>
  </si>
  <si>
    <t>HP/Stg</t>
  </si>
  <si>
    <t>Total HP</t>
  </si>
  <si>
    <t/>
  </si>
  <si>
    <r>
      <t>Enter the figure</t>
    </r>
    <r>
      <rPr>
        <b/>
        <sz val="10"/>
        <rFont val="Arial"/>
        <family val="2"/>
      </rPr>
      <t xml:space="preserve"> 1 </t>
    </r>
    <r>
      <rPr>
        <sz val="10"/>
        <rFont val="Arial"/>
        <family val="2"/>
      </rPr>
      <t xml:space="preserve">in </t>
    </r>
    <r>
      <rPr>
        <b/>
        <sz val="10"/>
        <rFont val="Arial"/>
        <family val="2"/>
      </rPr>
      <t>one</t>
    </r>
    <r>
      <rPr>
        <sz val="10"/>
        <rFont val="Arial"/>
        <family val="2"/>
      </rPr>
      <t xml:space="preserve"> of the following two boxes that best describes the motors being used:-</t>
    </r>
  </si>
  <si>
    <r>
      <t xml:space="preserve">1. </t>
    </r>
    <r>
      <rPr>
        <sz val="10"/>
        <rFont val="Arial"/>
        <family val="2"/>
      </rPr>
      <t>50 Hz or</t>
    </r>
    <r>
      <rPr>
        <b/>
        <sz val="10"/>
        <rFont val="Arial"/>
        <family val="2"/>
      </rPr>
      <t xml:space="preserve"> </t>
    </r>
    <r>
      <rPr>
        <sz val="10"/>
        <rFont val="Arial"/>
        <family val="2"/>
      </rPr>
      <t>60 Hz fixed rating motor</t>
    </r>
  </si>
  <si>
    <r>
      <t xml:space="preserve">2.  </t>
    </r>
    <r>
      <rPr>
        <sz val="10"/>
        <rFont val="Arial"/>
        <family val="2"/>
      </rPr>
      <t>Variable rate motors i.e. Dominator 562 and 456 series</t>
    </r>
  </si>
  <si>
    <t>KGS</t>
  </si>
  <si>
    <t>Cable</t>
  </si>
  <si>
    <t>Volts loss/1000 ft</t>
  </si>
  <si>
    <t>V = Total Volt drop @ run amps</t>
  </si>
  <si>
    <t>Volt drop @ Nameplate Amps</t>
  </si>
  <si>
    <t>V = Total Volt drop</t>
  </si>
  <si>
    <t>Specific Gravity</t>
  </si>
  <si>
    <t>VSD</t>
  </si>
  <si>
    <t xml:space="preserve">Pump HP requirement at </t>
  </si>
  <si>
    <t>Hz =</t>
  </si>
  <si>
    <t xml:space="preserve">     b. If equipped with KGS add appropriate HP</t>
  </si>
  <si>
    <t xml:space="preserve">   Running amps at</t>
  </si>
  <si>
    <t>Volt drop @ running Amps =</t>
  </si>
  <si>
    <t xml:space="preserve">Actual Pump load @ </t>
  </si>
  <si>
    <t>Hertz</t>
  </si>
  <si>
    <t>x Name plate Amps</t>
  </si>
  <si>
    <t xml:space="preserve"> = Running Amps</t>
  </si>
  <si>
    <t>Nameplate Horsepower</t>
  </si>
  <si>
    <t xml:space="preserve">   Required surface volts @ </t>
  </si>
  <si>
    <t>KVA =</t>
  </si>
  <si>
    <t>Max Drive Hz  =</t>
  </si>
  <si>
    <t>Cube Root</t>
  </si>
  <si>
    <t xml:space="preserve"> = Max Drive Hz </t>
  </si>
  <si>
    <t>Motor Max Hz =</t>
  </si>
  <si>
    <t>Sqr Root</t>
  </si>
  <si>
    <t xml:space="preserve"> Hz Motor HP       </t>
  </si>
  <si>
    <t xml:space="preserve"> Hz Pump HP Req</t>
  </si>
  <si>
    <t>RFB</t>
  </si>
  <si>
    <t>Motor Load Extension</t>
  </si>
  <si>
    <r>
      <t xml:space="preserve">Complete the yellow boxes with either 50Hz </t>
    </r>
    <r>
      <rPr>
        <b/>
        <u/>
        <sz val="14"/>
        <rFont val="Arial"/>
        <family val="2"/>
      </rPr>
      <t xml:space="preserve">or </t>
    </r>
    <r>
      <rPr>
        <b/>
        <sz val="14"/>
        <rFont val="Arial"/>
        <family val="2"/>
      </rPr>
      <t>60Hz information</t>
    </r>
  </si>
  <si>
    <t>PHE RFB</t>
  </si>
  <si>
    <t>Widuri</t>
  </si>
  <si>
    <t xml:space="preserve">     a. HP/Stg x Total Stages =  HP required @ </t>
  </si>
  <si>
    <t>VSD KVA @480V</t>
  </si>
  <si>
    <t>VSD Output Amps</t>
  </si>
  <si>
    <t xml:space="preserve"> (Name Plate Volts + Volt Drop on Cable + Volt Drop on MLE) x 102.5%</t>
  </si>
  <si>
    <t>Required Surface Volts @ 60 Hz x Name Plate Amps x 1.732 x 1.1</t>
  </si>
  <si>
    <t>In the event the drive KVA is able to handle this Max KVA</t>
  </si>
  <si>
    <t>x 60</t>
  </si>
  <si>
    <t>Motor Max Hz</t>
  </si>
  <si>
    <t>x 60 =</t>
  </si>
  <si>
    <t xml:space="preserve">      Drive KVA  </t>
  </si>
  <si>
    <t xml:space="preserve">Hz KVA </t>
  </si>
  <si>
    <t>SN-2600 (Reda)</t>
  </si>
  <si>
    <t>QN70ARC (Daqing)</t>
  </si>
  <si>
    <t>2739 BFPD</t>
  </si>
  <si>
    <t>6000 BFPD</t>
  </si>
  <si>
    <t>250 psi</t>
  </si>
  <si>
    <t>1665,47 psi</t>
  </si>
  <si>
    <t>654,03 psi</t>
  </si>
  <si>
    <t>3178,56 ft</t>
  </si>
  <si>
    <t>3778 ft</t>
  </si>
  <si>
    <t>1600 - 3200 BFPD</t>
  </si>
  <si>
    <t>3500 - 7500 BFPD</t>
  </si>
  <si>
    <t>80 stages</t>
  </si>
  <si>
    <t>146 stages</t>
  </si>
  <si>
    <t>273 HP</t>
  </si>
  <si>
    <t>120 HP</t>
  </si>
  <si>
    <t>2688 volt</t>
  </si>
  <si>
    <t>58 ampere</t>
  </si>
  <si>
    <t>TR500 KVA</t>
  </si>
  <si>
    <t>EMPHST-CCR-PL3-RF-HL (Series ZED1712Q01)</t>
  </si>
  <si>
    <t>Powerlift Round Cable Series AWG#1 (Series 17044C) with cable length 5097 ft &amp; MLE Cable AWG#4 (Series YR1911021) 82 ft</t>
  </si>
  <si>
    <t>NPBPBSLST-AR-CCR-PL3-RF-FD-E-INCH 
(Series ZNB200611R)</t>
  </si>
  <si>
    <t>Variable Speed Drive (VSD)</t>
  </si>
  <si>
    <t>VSD Cap 390 KVA</t>
  </si>
  <si>
    <t>WELL COMPLETION GUIDE</t>
  </si>
  <si>
    <t>FIELD NAME</t>
  </si>
  <si>
    <t>WELL NAME</t>
  </si>
  <si>
    <t>VERTICAL</t>
  </si>
  <si>
    <t>NEW COMPLETION</t>
  </si>
  <si>
    <t>B - 12ST</t>
  </si>
  <si>
    <t>WORKOVER</t>
  </si>
  <si>
    <t xml:space="preserve">DIRECTIONAL/ANGLE </t>
  </si>
  <si>
    <t>87.17º @ 4.368' Top Of Perf</t>
  </si>
  <si>
    <t>PUMP REPAIR</t>
  </si>
  <si>
    <t>02 - 1A - 0389</t>
  </si>
  <si>
    <t>SIZE</t>
  </si>
  <si>
    <t>WEIGHT</t>
  </si>
  <si>
    <t>GRADE</t>
  </si>
  <si>
    <t>THREAD</t>
  </si>
  <si>
    <t>DEPTH ( FEET )</t>
  </si>
  <si>
    <t xml:space="preserve"> CASING</t>
  </si>
  <si>
    <t>9-5/8"</t>
  </si>
  <si>
    <t>43.5 LBS</t>
  </si>
  <si>
    <t>N - 80</t>
  </si>
  <si>
    <t>BUTT</t>
  </si>
  <si>
    <t xml:space="preserve"> DV COLLAR</t>
  </si>
  <si>
    <t>SHOE</t>
  </si>
  <si>
    <t>6.038' MD</t>
  </si>
  <si>
    <t xml:space="preserve"> LINER/</t>
  </si>
  <si>
    <t>GP-PACKER. BAKER "SC - 1R" w/ 6.00" ID</t>
  </si>
  <si>
    <t xml:space="preserve"> TOP</t>
  </si>
  <si>
    <t xml:space="preserve"> SCREEN</t>
  </si>
  <si>
    <t>6.258' MD</t>
  </si>
  <si>
    <t xml:space="preserve"> TUBING</t>
  </si>
  <si>
    <t>4-1/2"</t>
    <phoneticPr fontId="0" type="noConversion"/>
  </si>
  <si>
    <t>12.75 LBS</t>
    <phoneticPr fontId="0" type="noConversion"/>
  </si>
  <si>
    <t>N - 80</t>
    <phoneticPr fontId="0" type="noConversion"/>
  </si>
  <si>
    <t>EUE</t>
    <phoneticPr fontId="0" type="noConversion"/>
  </si>
  <si>
    <t>LAST TUBING INSTALLED</t>
  </si>
  <si>
    <t>PBTD ; 6.297' MD</t>
  </si>
  <si>
    <t>ZONE / PERFORATION INTERVAL</t>
  </si>
  <si>
    <t xml:space="preserve"> TOP PERF  :  6.258' MD      BOTTOM PERF  : 6.565' MD</t>
  </si>
  <si>
    <t>ITEM</t>
  </si>
  <si>
    <t>DESCRIPTION</t>
  </si>
  <si>
    <t>CONDITION</t>
  </si>
  <si>
    <t>O.D.(INCH)</t>
  </si>
  <si>
    <t>I.D.(INCH)</t>
  </si>
  <si>
    <t>LENGTH, FT</t>
  </si>
  <si>
    <t>DEPTH, FT</t>
  </si>
  <si>
    <t>KB. ELEVATION</t>
  </si>
  <si>
    <t>CAMERON  TBG HANGER 4 1/2"</t>
  </si>
  <si>
    <t>RERUN</t>
  </si>
  <si>
    <t>19 JOINTS 4 1/2" EUE TUBING IPC</t>
  </si>
  <si>
    <t>HALLIBURTON  TRSV</t>
  </si>
  <si>
    <t>1 JOINT 4 1/2" EUE TUBING IPC</t>
  </si>
  <si>
    <t>EXTENTION PACKER</t>
  </si>
  <si>
    <t>9 5/8" ESP HALL PACKER</t>
  </si>
  <si>
    <t>REDRESS</t>
  </si>
  <si>
    <t>OTIS X-LANDING NIPPLE</t>
  </si>
  <si>
    <t>FLOW COUPLING</t>
  </si>
  <si>
    <t>52 JOINTS 4 1/2" EUE TUBING IPC</t>
  </si>
  <si>
    <t>HEAD PUMP</t>
  </si>
  <si>
    <t>NEW</t>
  </si>
  <si>
    <t>PUMP I: SN 2600 / 40 STGS</t>
  </si>
  <si>
    <t>PUMP II: SN 2600 / 40 SGTS</t>
  </si>
  <si>
    <t>INTAKE</t>
  </si>
  <si>
    <t>PROTECTOR</t>
  </si>
  <si>
    <t>MOTOR : 120 HP / 876 V / 87 A</t>
  </si>
  <si>
    <t>SENSOR</t>
  </si>
  <si>
    <t>E S P STOPPER</t>
  </si>
  <si>
    <t>BOTTOM OF  PUMP ASSY. LANDED AT----------------------------------</t>
  </si>
  <si>
    <t>A</t>
  </si>
  <si>
    <t>CAMEROON CONTROLLINE NIPPLE</t>
  </si>
  <si>
    <t>B</t>
  </si>
  <si>
    <t>0.25" SS CONTROLLINE</t>
  </si>
  <si>
    <t>C</t>
  </si>
  <si>
    <t>RMS PENETRATOR</t>
  </si>
  <si>
    <t>D</t>
  </si>
  <si>
    <t>ROUND CABLE</t>
  </si>
  <si>
    <t>RECOND</t>
  </si>
  <si>
    <t>E</t>
  </si>
  <si>
    <t>HALLIBURTON MECH. PACK OFF</t>
  </si>
  <si>
    <t>F</t>
  </si>
  <si>
    <t>HALLIBURTON ANNULAR VENT SLEEVE</t>
  </si>
  <si>
    <t>G</t>
  </si>
  <si>
    <t>FLAT CABLE</t>
  </si>
  <si>
    <t>H</t>
  </si>
  <si>
    <t>GULF COAST</t>
  </si>
  <si>
    <t>COMPLETION PROCEDURE :</t>
  </si>
  <si>
    <t>KILLING WELL AS PER PROGRAM</t>
  </si>
  <si>
    <t>POOH POWERLIFT PUMP ASSY AND DOWN HOLE EQUIPMET</t>
  </si>
  <si>
    <t>M/U AND RIH POWERLIFT PUMP ASSY. AND DOWN HOLE EQUIPMENT.</t>
  </si>
  <si>
    <t>SET ESP HALL PACKER 1200 PSI, PRESSURE UP TUBING 2800 PSI AND TEST ANNULUS 300 PSI.</t>
  </si>
  <si>
    <t>RIG UP SLICKLINE UNIT TO PULL OUT 3.813" PX-PLUG AND PRONG.</t>
  </si>
  <si>
    <t>NOTE ;</t>
  </si>
  <si>
    <t>9-5/8" X 4-1/2" ESP PACKER HAS A STRAIGHT PULL TO RELEASE 40,000 LBS.</t>
  </si>
  <si>
    <t>P/U WEIGHT STRING =  60 KLBS                              S/O WEIGHT STRING =  40 KLBS</t>
  </si>
  <si>
    <t>DRILLING RIG/WORKOVER BARGE</t>
  </si>
  <si>
    <t>APPROVED DRILLING / WORKOVER SUPV.</t>
  </si>
  <si>
    <t>PREPARED BY</t>
  </si>
  <si>
    <t>DATE</t>
  </si>
  <si>
    <t>146 STAGES</t>
  </si>
  <si>
    <t>ESP COMPLETION DESIGN</t>
    <phoneticPr fontId="3" type="noConversion"/>
  </si>
  <si>
    <t>Wellhead:</t>
  </si>
  <si>
    <t>Junction Box:</t>
  </si>
  <si>
    <t>Transformer:</t>
  </si>
  <si>
    <t>Switchboard/VSD:</t>
  </si>
  <si>
    <t>Powerlift Crew:</t>
  </si>
  <si>
    <t>Field / Location:</t>
  </si>
  <si>
    <t>Barge/Rig:</t>
  </si>
  <si>
    <t>Item</t>
  </si>
  <si>
    <t>Type/Description</t>
  </si>
  <si>
    <t>P/N</t>
  </si>
  <si>
    <t>Qty/Length</t>
  </si>
  <si>
    <t>Surface Cable:</t>
  </si>
  <si>
    <t>BIW Surface Cable</t>
  </si>
  <si>
    <t>Power plug</t>
  </si>
  <si>
    <t>BIW</t>
  </si>
  <si>
    <t>Penetrator:</t>
  </si>
  <si>
    <t>Downhole Connector:</t>
  </si>
  <si>
    <t>Cable Protectors:</t>
  </si>
  <si>
    <t>Protectorlizer</t>
  </si>
  <si>
    <t>Junction Box</t>
  </si>
  <si>
    <t>X-Over</t>
  </si>
  <si>
    <t>KVA = 500</t>
  </si>
  <si>
    <t>Tubing Size:</t>
  </si>
  <si>
    <t>Tubing</t>
  </si>
  <si>
    <t>Casing Size/Weight:</t>
  </si>
  <si>
    <t>Casing</t>
  </si>
  <si>
    <t>Pump Set. Depth :</t>
  </si>
  <si>
    <t>Feet</t>
    <phoneticPr fontId="3" type="noConversion"/>
  </si>
  <si>
    <t>Expected Flow Range:</t>
    <phoneticPr fontId="3" type="noConversion"/>
  </si>
  <si>
    <t>BPD</t>
  </si>
  <si>
    <t>Series</t>
  </si>
  <si>
    <t>Description</t>
  </si>
  <si>
    <t>Serial Number</t>
  </si>
  <si>
    <t>OD (Weight)</t>
  </si>
  <si>
    <t>Length (in Ft)</t>
  </si>
  <si>
    <t xml:space="preserve">Power Cable: </t>
  </si>
  <si>
    <t>AWG</t>
  </si>
  <si>
    <t xml:space="preserve">Cable: </t>
  </si>
  <si>
    <t>AWG # 1</t>
  </si>
  <si>
    <t xml:space="preserve">Discharge Head: </t>
  </si>
  <si>
    <t xml:space="preserve">Discharge: </t>
  </si>
  <si>
    <t>MLE:</t>
  </si>
  <si>
    <t>Length of MLE to BOH :</t>
  </si>
  <si>
    <t>Motor UT:</t>
  </si>
  <si>
    <t>Motor LT:</t>
  </si>
  <si>
    <t>Crossover</t>
  </si>
  <si>
    <t>Downhole Monitor:</t>
  </si>
  <si>
    <t>SURVEYOR</t>
  </si>
  <si>
    <t>Downhole Tool:</t>
  </si>
  <si>
    <t>Motor Guide/Centralizer</t>
  </si>
  <si>
    <t>Casing or liner size:</t>
    <phoneticPr fontId="3" type="noConversion"/>
  </si>
  <si>
    <t>Using</t>
  </si>
  <si>
    <t>centralizer</t>
  </si>
  <si>
    <t>Total length =&gt;&gt;&gt;</t>
  </si>
  <si>
    <t>Name</t>
  </si>
  <si>
    <t>Signature</t>
  </si>
  <si>
    <t>A. E.</t>
  </si>
  <si>
    <t>Reinhard Fredik Batubara</t>
  </si>
  <si>
    <t>Superintendent:</t>
  </si>
  <si>
    <t>Costomer Reps:</t>
  </si>
  <si>
    <t>ESP Price Agreement</t>
  </si>
  <si>
    <t>your company logo here</t>
  </si>
  <si>
    <t>1st Installation</t>
  </si>
  <si>
    <t>Green</t>
  </si>
  <si>
    <t>TRL</t>
  </si>
  <si>
    <t>AFE/IO</t>
  </si>
  <si>
    <t>OS20D41071</t>
  </si>
  <si>
    <t>Medium HiModerate</t>
  </si>
  <si>
    <t>Pack</t>
  </si>
  <si>
    <t>ERL = 1825</t>
  </si>
  <si>
    <t>Daily Rate</t>
  </si>
  <si>
    <t>US$ 211.80</t>
  </si>
  <si>
    <t>Tahun</t>
  </si>
  <si>
    <t>Cash Flow (US$)</t>
  </si>
  <si>
    <t>Kumulatif (US$)</t>
  </si>
  <si>
    <t>CFn (P/F,i%,n)</t>
  </si>
  <si>
    <t>IRR (%)</t>
  </si>
  <si>
    <t>B/C</t>
  </si>
  <si>
    <t>POT (Thn)</t>
  </si>
  <si>
    <t>i = 5%</t>
  </si>
  <si>
    <t>i = 18%</t>
  </si>
  <si>
    <t>NPV</t>
  </si>
  <si>
    <t>ESP Unit</t>
  </si>
  <si>
    <t>Part</t>
  </si>
  <si>
    <t>Value</t>
  </si>
  <si>
    <t>Unit</t>
  </si>
  <si>
    <t>Condition</t>
  </si>
  <si>
    <t>SN</t>
  </si>
  <si>
    <t>stgs</t>
  </si>
  <si>
    <t>New</t>
  </si>
  <si>
    <t>JNP171112-1</t>
  </si>
  <si>
    <t>ZED1710Q44</t>
  </si>
  <si>
    <t>NPBPBSLST</t>
  </si>
  <si>
    <t>JNB170602</t>
  </si>
  <si>
    <t>Sensor</t>
  </si>
  <si>
    <t>PHOENIX</t>
  </si>
  <si>
    <t>S103X19JNO7732</t>
  </si>
  <si>
    <t>17044C</t>
  </si>
  <si>
    <t>DNP-07-19010</t>
  </si>
  <si>
    <t>Vendor AE</t>
  </si>
  <si>
    <t>Vendor Reps</t>
  </si>
  <si>
    <t>Engineer</t>
  </si>
  <si>
    <t>Manager</t>
  </si>
  <si>
    <t>SN20D53959</t>
  </si>
  <si>
    <t>Medium LowModerate</t>
  </si>
  <si>
    <t>US$ 251.20</t>
  </si>
  <si>
    <t>2nd Installation</t>
  </si>
  <si>
    <t>SN2600</t>
  </si>
  <si>
    <t>SN65733-2</t>
  </si>
  <si>
    <t>998.31 psi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</si>
</sst>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164" formatCode="0.0000"/>
    <numFmt numFmtId="165" formatCode="0.000"/>
    <numFmt numFmtId="166" formatCode="0.0"/>
    <numFmt numFmtId="167" formatCode="0.00000"/>
    <numFmt numFmtId="168" formatCode="0.000_ "/>
    <numFmt numFmtId="169" formatCode="0.00_ "/>
    <numFmt numFmtId="170" formatCode="0.0000_ "/>
    <numFmt numFmtId="171" formatCode="0.0%"/>
    <numFmt numFmtId="172" formatCode="0_ "/>
    <numFmt numFmtId="173" formatCode="[$-409]d/mmm/yy;@"/>
    <numFmt numFmtId="174" formatCode="yyyy/m/d;@"/>
    <numFmt numFmtId="175" formatCode="&quot;$&quot;#,##0.00"/>
    <numFmt numFmtId="176" formatCode=";;;"/>
    <numFmt numFmtId="177" formatCode="mmmm\ d\,\ yyyy"/>
    <numFmt numFmtId="178" formatCode="[$-409]dd/mmm/yy;@"/>
    <numFmt numFmtId="179" formatCode="0_);[Red]\(0\)"/>
    <numFmt numFmtId="180" formatCode="dd/mmm/yy"/>
  </numFmts>
  <fonts count="119">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sz val="12"/>
      <color theme="1"/>
      <name val="Times New Roman"/>
      <family val="1"/>
    </font>
    <font>
      <sz val="1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color theme="1"/>
      <name val="Calibri"/>
      <family val="2"/>
      <charset val="1"/>
      <scheme val="minor"/>
    </font>
    <font>
      <sz val="12"/>
      <color rgb="FF000000"/>
      <name val="Times New Roman"/>
      <family val="1"/>
    </font>
    <font>
      <vertAlign val="superscript"/>
      <sz val="12"/>
      <color rgb="FF000000"/>
      <name val="Times New Roman"/>
      <family val="1"/>
    </font>
    <font>
      <sz val="11"/>
      <color rgb="FF000000"/>
      <name val="Calibri"/>
      <family val="2"/>
      <scheme val="minor"/>
    </font>
    <font>
      <sz val="10"/>
      <color theme="1"/>
      <name val="Calibri"/>
      <family val="2"/>
      <scheme val="minor"/>
    </font>
    <font>
      <sz val="10"/>
      <color rgb="FF000000"/>
      <name val="Calibri"/>
      <family val="2"/>
      <scheme val="minor"/>
    </font>
    <font>
      <vertAlign val="superscript"/>
      <sz val="11"/>
      <color rgb="FF000000"/>
      <name val="Calibri"/>
      <family val="2"/>
      <scheme val="minor"/>
    </font>
    <font>
      <b/>
      <sz val="11"/>
      <color theme="1"/>
      <name val="Calibri"/>
      <family val="2"/>
    </font>
    <font>
      <b/>
      <sz val="18"/>
      <color theme="1"/>
      <name val="Calibri"/>
      <family val="2"/>
      <scheme val="minor"/>
    </font>
    <font>
      <b/>
      <sz val="14"/>
      <name val="Palatino Linotype"/>
      <family val="1"/>
    </font>
    <font>
      <sz val="12"/>
      <name val="宋体"/>
      <charset val="134"/>
    </font>
    <font>
      <b/>
      <sz val="18"/>
      <name val="Palatino Linotype"/>
      <family val="1"/>
    </font>
    <font>
      <b/>
      <sz val="20"/>
      <name val="Palatino Linotype"/>
      <family val="1"/>
    </font>
    <font>
      <sz val="12"/>
      <name val="Palatino Linotype"/>
      <family val="1"/>
    </font>
    <font>
      <b/>
      <sz val="24"/>
      <name val="Palatino Linotype"/>
      <family val="1"/>
    </font>
    <font>
      <b/>
      <sz val="10"/>
      <name val="Palatino Linotype"/>
      <family val="1"/>
    </font>
    <font>
      <b/>
      <i/>
      <sz val="10"/>
      <name val="Palatino Linotype"/>
      <family val="1"/>
    </font>
    <font>
      <sz val="10"/>
      <name val="Arial"/>
      <family val="2"/>
    </font>
    <font>
      <sz val="10"/>
      <name val="Palatino Linotype"/>
      <family val="1"/>
    </font>
    <font>
      <b/>
      <sz val="16"/>
      <name val="Palatino Linotype"/>
      <family val="1"/>
    </font>
    <font>
      <b/>
      <i/>
      <sz val="11"/>
      <name val="Palatino Linotype"/>
      <family val="1"/>
    </font>
    <font>
      <b/>
      <sz val="11"/>
      <name val="Palatino Linotype"/>
      <family val="1"/>
    </font>
    <font>
      <sz val="8"/>
      <name val="Palatino Linotype"/>
      <family val="1"/>
    </font>
    <font>
      <b/>
      <sz val="8"/>
      <color indexed="12"/>
      <name val="Palatino Linotype"/>
      <family val="1"/>
    </font>
    <font>
      <b/>
      <sz val="8"/>
      <color indexed="10"/>
      <name val="Palatino Linotype"/>
      <family val="1"/>
    </font>
    <font>
      <b/>
      <sz val="8"/>
      <name val="Palatino Linotype"/>
      <family val="1"/>
    </font>
    <font>
      <vertAlign val="superscript"/>
      <sz val="8"/>
      <name val="Palatino Linotype"/>
      <family val="1"/>
    </font>
    <font>
      <sz val="8"/>
      <color indexed="10"/>
      <name val="Palatino Linotype"/>
      <family val="1"/>
    </font>
    <font>
      <b/>
      <sz val="8"/>
      <color indexed="81"/>
      <name val="Tahoma"/>
      <family val="2"/>
    </font>
    <font>
      <sz val="8"/>
      <color indexed="81"/>
      <name val="Tahoma"/>
      <family val="2"/>
    </font>
    <font>
      <i/>
      <sz val="10"/>
      <name val="Palatino Linotype"/>
      <family val="1"/>
    </font>
    <font>
      <vertAlign val="superscript"/>
      <sz val="10"/>
      <name val="Palatino Linotype"/>
      <family val="1"/>
    </font>
    <font>
      <sz val="10"/>
      <name val="Tahoma"/>
      <family val="2"/>
    </font>
    <font>
      <sz val="10"/>
      <color indexed="12"/>
      <name val="Palatino Linotype"/>
      <family val="1"/>
    </font>
    <font>
      <sz val="12"/>
      <name val="宋体"/>
      <family val="2"/>
      <charset val="134"/>
    </font>
    <font>
      <u/>
      <sz val="12"/>
      <color indexed="12"/>
      <name val="宋体"/>
      <charset val="134"/>
    </font>
    <font>
      <b/>
      <sz val="8"/>
      <color indexed="10"/>
      <name val="Tahoma"/>
      <family val="2"/>
    </font>
    <font>
      <b/>
      <sz val="8"/>
      <color indexed="12"/>
      <name val="Tahoma"/>
      <family val="2"/>
    </font>
    <font>
      <b/>
      <sz val="16"/>
      <name val="Tahoma"/>
      <family val="2"/>
    </font>
    <font>
      <sz val="12"/>
      <name val="Tahoma"/>
      <family val="2"/>
    </font>
    <font>
      <b/>
      <sz val="20"/>
      <name val="Arial"/>
      <family val="2"/>
    </font>
    <font>
      <b/>
      <u/>
      <sz val="18"/>
      <name val="Arial"/>
      <family val="2"/>
    </font>
    <font>
      <b/>
      <sz val="10"/>
      <name val="Arial"/>
      <family val="2"/>
    </font>
    <font>
      <sz val="10"/>
      <color indexed="48"/>
      <name val="Arial"/>
      <family val="2"/>
    </font>
    <font>
      <sz val="10"/>
      <color indexed="12"/>
      <name val="Arial"/>
      <family val="2"/>
    </font>
    <font>
      <sz val="9"/>
      <name val="Arial"/>
      <family val="2"/>
    </font>
    <font>
      <b/>
      <sz val="10"/>
      <color indexed="10"/>
      <name val="Arial"/>
      <family val="2"/>
    </font>
    <font>
      <b/>
      <sz val="14"/>
      <color indexed="10"/>
      <name val="Arial"/>
      <family val="2"/>
    </font>
    <font>
      <sz val="7"/>
      <name val="Arial"/>
      <family val="2"/>
    </font>
    <font>
      <b/>
      <i/>
      <sz val="9"/>
      <name val="Arial"/>
      <family val="2"/>
    </font>
    <font>
      <b/>
      <sz val="8"/>
      <name val="Arial"/>
      <family val="2"/>
    </font>
    <font>
      <b/>
      <sz val="9"/>
      <name val="Arial"/>
      <family val="2"/>
    </font>
    <font>
      <i/>
      <sz val="10"/>
      <name val="Arial"/>
      <family val="2"/>
    </font>
    <font>
      <b/>
      <sz val="7"/>
      <color indexed="10"/>
      <name val="Arial"/>
      <family val="2"/>
    </font>
    <font>
      <b/>
      <sz val="7"/>
      <name val="Arial"/>
      <family val="2"/>
    </font>
    <font>
      <b/>
      <i/>
      <sz val="10"/>
      <name val="Arial"/>
      <family val="2"/>
    </font>
    <font>
      <u/>
      <sz val="10"/>
      <color indexed="12"/>
      <name val="Arial"/>
      <family val="2"/>
    </font>
    <font>
      <b/>
      <i/>
      <sz val="10"/>
      <color indexed="8"/>
      <name val="Arial"/>
      <family val="2"/>
    </font>
    <font>
      <sz val="11"/>
      <name val="Arial"/>
      <family val="2"/>
    </font>
    <font>
      <b/>
      <sz val="11"/>
      <name val="Arial"/>
      <family val="2"/>
    </font>
    <font>
      <sz val="7"/>
      <color indexed="10"/>
      <name val="Arial"/>
      <family val="2"/>
    </font>
    <font>
      <b/>
      <sz val="9"/>
      <color indexed="81"/>
      <name val="宋体"/>
      <charset val="134"/>
    </font>
    <font>
      <sz val="9"/>
      <color indexed="81"/>
      <name val="宋体"/>
      <charset val="134"/>
    </font>
    <font>
      <b/>
      <sz val="16"/>
      <color theme="1"/>
      <name val="Calibri"/>
      <family val="2"/>
      <scheme val="minor"/>
    </font>
    <font>
      <sz val="16"/>
      <color theme="1"/>
      <name val="Calibri"/>
      <family val="2"/>
      <scheme val="minor"/>
    </font>
    <font>
      <b/>
      <sz val="10"/>
      <color theme="1"/>
      <name val="Calibri"/>
      <family val="2"/>
      <scheme val="minor"/>
    </font>
    <font>
      <sz val="11"/>
      <color rgb="FF9C6500"/>
      <name val="Calibri"/>
      <family val="2"/>
      <scheme val="minor"/>
    </font>
    <font>
      <sz val="11"/>
      <color rgb="FF006100"/>
      <name val="Calibri"/>
      <family val="2"/>
      <scheme val="minor"/>
    </font>
    <font>
      <b/>
      <sz val="9"/>
      <color indexed="81"/>
      <name val="Tahoma"/>
      <family val="2"/>
    </font>
    <font>
      <sz val="9"/>
      <color indexed="81"/>
      <name val="Tahoma"/>
      <family val="2"/>
    </font>
    <font>
      <b/>
      <sz val="14"/>
      <name val="Arial"/>
      <family val="2"/>
    </font>
    <font>
      <b/>
      <sz val="12"/>
      <name val="Arial"/>
      <family val="2"/>
    </font>
    <font>
      <b/>
      <u/>
      <sz val="14"/>
      <name val="Arial"/>
      <family val="2"/>
    </font>
    <font>
      <sz val="8"/>
      <color indexed="10"/>
      <name val="Arial"/>
      <family val="2"/>
    </font>
    <font>
      <b/>
      <sz val="9"/>
      <color indexed="9"/>
      <name val="Arial"/>
      <family val="2"/>
    </font>
    <font>
      <sz val="8"/>
      <name val="Arial"/>
      <family val="2"/>
    </font>
    <font>
      <sz val="8"/>
      <name val="Georgia"/>
      <family val="1"/>
    </font>
    <font>
      <b/>
      <sz val="26"/>
      <name val="Arial Black"/>
      <family val="2"/>
    </font>
    <font>
      <sz val="20"/>
      <name val="Georgia"/>
      <family val="1"/>
    </font>
    <font>
      <b/>
      <sz val="10"/>
      <color rgb="FFFF0000"/>
      <name val="Arial"/>
      <family val="2"/>
    </font>
    <font>
      <sz val="8"/>
      <color rgb="FFFF0000"/>
      <name val="Arial"/>
      <family val="2"/>
    </font>
    <font>
      <b/>
      <sz val="8"/>
      <color rgb="FFFF0000"/>
      <name val="Arial"/>
      <family val="2"/>
    </font>
    <font>
      <sz val="10"/>
      <color rgb="FFFF0000"/>
      <name val="Arial"/>
      <family val="2"/>
    </font>
    <font>
      <b/>
      <sz val="10"/>
      <color rgb="FFFFC000"/>
      <name val="Arial"/>
      <family val="2"/>
    </font>
    <font>
      <b/>
      <sz val="10"/>
      <name val="Bookman Old Style"/>
      <family val="1"/>
    </font>
    <font>
      <sz val="10"/>
      <name val="Bookman Old Style"/>
      <family val="1"/>
    </font>
    <font>
      <b/>
      <sz val="9"/>
      <name val="Bookman Old Style"/>
      <family val="1"/>
    </font>
    <font>
      <b/>
      <sz val="10"/>
      <name val="Comic Sans MS"/>
      <family val="4"/>
    </font>
    <font>
      <b/>
      <sz val="14"/>
      <color theme="1"/>
      <name val="Calibri"/>
      <family val="2"/>
      <scheme val="minor"/>
    </font>
    <font>
      <b/>
      <sz val="20"/>
      <name val="Tahoma"/>
      <family val="2"/>
    </font>
    <font>
      <b/>
      <i/>
      <sz val="11"/>
      <name val="Tahoma"/>
      <family val="2"/>
    </font>
    <font>
      <i/>
      <sz val="11"/>
      <name val="Tahoma"/>
      <family val="2"/>
    </font>
    <font>
      <b/>
      <sz val="10"/>
      <name val="Tahoma"/>
      <family val="2"/>
    </font>
    <font>
      <sz val="12"/>
      <color indexed="12"/>
      <name val="Tahoma"/>
      <family val="2"/>
    </font>
    <font>
      <sz val="10"/>
      <color indexed="12"/>
      <name val="Tahoma"/>
      <family val="2"/>
    </font>
    <font>
      <sz val="10"/>
      <color indexed="48"/>
      <name val="Tahoma"/>
      <family val="2"/>
    </font>
    <font>
      <b/>
      <i/>
      <sz val="10"/>
      <name val="Tahoma"/>
      <family val="2"/>
    </font>
    <font>
      <sz val="8"/>
      <name val="Tahoma"/>
      <family val="2"/>
    </font>
    <font>
      <b/>
      <sz val="18"/>
      <name val="Tahoma"/>
      <family val="2"/>
    </font>
    <font>
      <sz val="10"/>
      <color indexed="10"/>
      <name val="Tahoma"/>
      <family val="2"/>
    </font>
    <font>
      <sz val="11"/>
      <name val="Tahoma"/>
      <family val="2"/>
    </font>
    <font>
      <i/>
      <sz val="7"/>
      <color theme="1"/>
      <name val="Calibri"/>
      <family val="2"/>
      <scheme val="minor"/>
    </font>
    <font>
      <i/>
      <sz val="11"/>
      <color rgb="FF7030A0"/>
      <name val="Calibri"/>
      <family val="2"/>
      <scheme val="minor"/>
    </font>
    <font>
      <b/>
      <sz val="36"/>
      <color theme="1"/>
      <name val="Calibri"/>
      <family val="2"/>
      <scheme val="minor"/>
    </font>
    <font>
      <b/>
      <sz val="48"/>
      <color theme="1"/>
      <name val="Calibri"/>
      <family val="2"/>
      <scheme val="minor"/>
    </font>
    <font>
      <b/>
      <sz val="11"/>
      <color rgb="FF0070C0"/>
      <name val="Calibri"/>
      <family val="2"/>
      <scheme val="minor"/>
    </font>
    <font>
      <i/>
      <sz val="11"/>
      <name val="Calibri"/>
      <family val="2"/>
      <scheme val="minor"/>
    </font>
    <font>
      <sz val="9"/>
      <name val="Times New Roman"/>
      <family val="1"/>
    </font>
    <font>
      <sz val="8"/>
      <name val="Times New Roman"/>
      <family val="1"/>
    </font>
    <font>
      <i/>
      <sz val="11"/>
      <color theme="1"/>
      <name val="Calibri"/>
      <family val="2"/>
      <scheme val="minor"/>
    </font>
  </fonts>
  <fills count="32">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bgColor indexed="64"/>
      </patternFill>
    </fill>
    <fill>
      <patternFill patternType="solid">
        <fgColor rgb="FF00B0F0"/>
        <bgColor indexed="64"/>
      </patternFill>
    </fill>
    <fill>
      <patternFill patternType="solid">
        <fgColor indexed="9"/>
        <bgColor indexed="64"/>
      </patternFill>
    </fill>
    <fill>
      <patternFill patternType="solid">
        <fgColor indexed="41"/>
        <bgColor indexed="64"/>
      </patternFill>
    </fill>
    <fill>
      <patternFill patternType="solid">
        <fgColor indexed="45"/>
        <bgColor indexed="64"/>
      </patternFill>
    </fill>
    <fill>
      <patternFill patternType="solid">
        <fgColor indexed="44"/>
        <bgColor indexed="64"/>
      </patternFill>
    </fill>
    <fill>
      <patternFill patternType="solid">
        <fgColor indexed="43"/>
        <bgColor indexed="64"/>
      </patternFill>
    </fill>
    <fill>
      <patternFill patternType="solid">
        <fgColor rgb="FF00FFFF"/>
        <bgColor indexed="64"/>
      </patternFill>
    </fill>
    <fill>
      <patternFill patternType="solid">
        <fgColor indexed="9"/>
        <bgColor indexed="26"/>
      </patternFill>
    </fill>
    <fill>
      <patternFill patternType="solid">
        <fgColor rgb="FFC6EFCE"/>
      </patternFill>
    </fill>
    <fill>
      <patternFill patternType="solid">
        <fgColor rgb="FFFFEB9C"/>
      </patternFill>
    </fill>
    <fill>
      <patternFill patternType="solid">
        <fgColor rgb="FFFF99CC"/>
        <bgColor indexed="64"/>
      </patternFill>
    </fill>
    <fill>
      <patternFill patternType="solid">
        <fgColor rgb="FF92D050"/>
        <bgColor indexed="64"/>
      </patternFill>
    </fill>
    <fill>
      <patternFill patternType="solid">
        <fgColor theme="6" tint="0.79998168889431442"/>
        <bgColor indexed="64"/>
      </patternFill>
    </fill>
    <fill>
      <patternFill patternType="solid">
        <fgColor indexed="13"/>
        <bgColor indexed="64"/>
      </patternFill>
    </fill>
    <fill>
      <patternFill patternType="solid">
        <fgColor indexed="10"/>
        <bgColor indexed="64"/>
      </patternFill>
    </fill>
    <fill>
      <patternFill patternType="solid">
        <fgColor indexed="12"/>
        <bgColor indexed="64"/>
      </patternFill>
    </fill>
    <fill>
      <patternFill patternType="solid">
        <fgColor rgb="FFFFFFCC"/>
        <bgColor indexed="64"/>
      </patternFill>
    </fill>
    <fill>
      <patternFill patternType="solid">
        <fgColor rgb="FF00B050"/>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double">
        <color indexed="64"/>
      </top>
      <bottom/>
      <diagonal/>
    </border>
    <border>
      <left style="medium">
        <color indexed="64"/>
      </left>
      <right/>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diagonal/>
    </border>
    <border>
      <left/>
      <right style="double">
        <color indexed="64"/>
      </right>
      <top/>
      <bottom/>
      <diagonal/>
    </border>
    <border>
      <left/>
      <right style="double">
        <color indexed="64"/>
      </right>
      <top/>
      <bottom style="medium">
        <color indexed="64"/>
      </bottom>
      <diagonal/>
    </border>
    <border>
      <left/>
      <right style="thin">
        <color indexed="9"/>
      </right>
      <top/>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double">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medium">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theme="1"/>
      </left>
      <right style="thin">
        <color theme="1"/>
      </right>
      <top/>
      <bottom/>
      <diagonal/>
    </border>
  </borders>
  <cellStyleXfs count="15">
    <xf numFmtId="0" fontId="0" fillId="0" borderId="0"/>
    <xf numFmtId="9" fontId="1" fillId="0" borderId="0" applyFont="0" applyFill="0" applyBorder="0" applyAlignment="0" applyProtection="0"/>
    <xf numFmtId="0" fontId="19" fillId="0" borderId="0"/>
    <xf numFmtId="0" fontId="26" fillId="0" borderId="0"/>
    <xf numFmtId="9" fontId="19" fillId="0" borderId="0" applyFont="0" applyFill="0" applyBorder="0" applyAlignment="0" applyProtection="0"/>
    <xf numFmtId="0" fontId="19" fillId="0" borderId="0"/>
    <xf numFmtId="0" fontId="44" fillId="0" borderId="0" applyNumberFormat="0" applyFill="0" applyBorder="0" applyAlignment="0" applyProtection="0">
      <alignment vertical="top"/>
      <protection locked="0"/>
    </xf>
    <xf numFmtId="0" fontId="19" fillId="0" borderId="0">
      <alignment vertical="center"/>
    </xf>
    <xf numFmtId="0" fontId="26" fillId="0" borderId="0"/>
    <xf numFmtId="0" fontId="65" fillId="0" borderId="0" applyNumberFormat="0" applyFill="0" applyBorder="0" applyAlignment="0" applyProtection="0">
      <alignment vertical="top"/>
      <protection locked="0"/>
    </xf>
    <xf numFmtId="0" fontId="75" fillId="23" borderId="0" applyNumberFormat="0" applyBorder="0" applyAlignment="0" applyProtection="0"/>
    <xf numFmtId="0" fontId="76" fillId="22" borderId="0" applyNumberFormat="0" applyBorder="0" applyAlignment="0" applyProtection="0"/>
    <xf numFmtId="0" fontId="26" fillId="0" borderId="0"/>
    <xf numFmtId="0" fontId="26" fillId="0" borderId="0"/>
    <xf numFmtId="44" fontId="1" fillId="0" borderId="0" applyFont="0" applyFill="0" applyBorder="0" applyAlignment="0" applyProtection="0"/>
  </cellStyleXfs>
  <cellXfs count="1329">
    <xf numFmtId="0" fontId="0" fillId="0" borderId="0" xfId="0"/>
    <xf numFmtId="0" fontId="2" fillId="0" borderId="0" xfId="0" applyFont="1"/>
    <xf numFmtId="0" fontId="0" fillId="3" borderId="1" xfId="0" applyFill="1" applyBorder="1" applyAlignment="1">
      <alignment horizontal="center"/>
    </xf>
    <xf numFmtId="0" fontId="0" fillId="3" borderId="2" xfId="0" applyFill="1" applyBorder="1" applyAlignment="1">
      <alignment horizontal="left"/>
    </xf>
    <xf numFmtId="0" fontId="0" fillId="3" borderId="3" xfId="0" applyFill="1" applyBorder="1" applyAlignment="1">
      <alignment horizontal="center"/>
    </xf>
    <xf numFmtId="0" fontId="0" fillId="3" borderId="4" xfId="0" applyFill="1" applyBorder="1"/>
    <xf numFmtId="0" fontId="0" fillId="3" borderId="1" xfId="0" applyFill="1" applyBorder="1"/>
    <xf numFmtId="0" fontId="0" fillId="3" borderId="2" xfId="0" applyFill="1" applyBorder="1"/>
    <xf numFmtId="0" fontId="0" fillId="3" borderId="1" xfId="0" applyFill="1" applyBorder="1" applyAlignment="1">
      <alignment horizontal="left"/>
    </xf>
    <xf numFmtId="0" fontId="0" fillId="3" borderId="3" xfId="0" applyFill="1" applyBorder="1"/>
    <xf numFmtId="2" fontId="0" fillId="3" borderId="1" xfId="0" applyNumberFormat="1" applyFill="1" applyBorder="1" applyAlignment="1">
      <alignment horizontal="center"/>
    </xf>
    <xf numFmtId="0" fontId="0" fillId="2" borderId="1" xfId="0" applyFill="1" applyBorder="1" applyAlignment="1">
      <alignment horizontal="center"/>
    </xf>
    <xf numFmtId="0" fontId="0" fillId="0" borderId="0" xfId="0" applyBorder="1"/>
    <xf numFmtId="0" fontId="0" fillId="0" borderId="0" xfId="0" applyAlignment="1">
      <alignment horizontal="center"/>
    </xf>
    <xf numFmtId="0" fontId="0" fillId="0" borderId="0" xfId="0" applyFill="1" applyBorder="1" applyAlignment="1">
      <alignment horizontal="center"/>
    </xf>
    <xf numFmtId="0" fontId="0" fillId="0" borderId="1" xfId="0" applyFill="1" applyBorder="1" applyAlignment="1">
      <alignment horizontal="center"/>
    </xf>
    <xf numFmtId="1" fontId="0" fillId="3" borderId="1" xfId="0" applyNumberFormat="1" applyFill="1" applyBorder="1" applyAlignment="1">
      <alignment horizontal="center"/>
    </xf>
    <xf numFmtId="2" fontId="0" fillId="0" borderId="1" xfId="0" applyNumberFormat="1" applyBorder="1" applyAlignment="1">
      <alignment horizontal="center"/>
    </xf>
    <xf numFmtId="0" fontId="0" fillId="0" borderId="1" xfId="0" applyBorder="1" applyAlignment="1">
      <alignment horizontal="center"/>
    </xf>
    <xf numFmtId="0" fontId="0" fillId="3" borderId="5" xfId="0" applyFill="1" applyBorder="1"/>
    <xf numFmtId="0" fontId="0" fillId="3" borderId="6" xfId="0" applyFill="1" applyBorder="1"/>
    <xf numFmtId="2" fontId="2" fillId="3" borderId="6" xfId="0" applyNumberFormat="1" applyFont="1" applyFill="1" applyBorder="1"/>
    <xf numFmtId="0" fontId="0" fillId="3" borderId="7" xfId="0" applyFill="1" applyBorder="1"/>
    <xf numFmtId="0" fontId="0" fillId="3" borderId="8" xfId="0" applyFill="1" applyBorder="1"/>
    <xf numFmtId="0" fontId="0" fillId="3" borderId="0" xfId="0" applyFill="1"/>
    <xf numFmtId="0" fontId="0" fillId="3" borderId="9" xfId="0" applyFill="1" applyBorder="1"/>
    <xf numFmtId="0" fontId="0" fillId="3" borderId="10" xfId="0" applyFill="1" applyBorder="1"/>
    <xf numFmtId="0" fontId="0" fillId="3" borderId="11" xfId="0" applyFill="1" applyBorder="1"/>
    <xf numFmtId="0" fontId="0" fillId="3" borderId="12" xfId="0" applyFill="1" applyBorder="1"/>
    <xf numFmtId="1" fontId="0" fillId="4" borderId="1" xfId="0" applyNumberFormat="1" applyFill="1" applyBorder="1" applyAlignment="1">
      <alignment horizontal="center"/>
    </xf>
    <xf numFmtId="1" fontId="0" fillId="0" borderId="1" xfId="0" applyNumberFormat="1" applyBorder="1" applyAlignment="1">
      <alignment horizontal="center"/>
    </xf>
    <xf numFmtId="0" fontId="0" fillId="0" borderId="0" xfId="0" applyAlignment="1">
      <alignment horizontal="right"/>
    </xf>
    <xf numFmtId="0" fontId="0" fillId="4" borderId="0" xfId="0" applyFill="1"/>
    <xf numFmtId="0" fontId="0" fillId="0" borderId="0" xfId="0" applyBorder="1" applyAlignment="1">
      <alignment horizontal="center"/>
    </xf>
    <xf numFmtId="0" fontId="0" fillId="0" borderId="0" xfId="0" applyAlignment="1">
      <alignment horizontal="left"/>
    </xf>
    <xf numFmtId="0" fontId="3" fillId="3" borderId="8" xfId="0" applyFont="1" applyFill="1" applyBorder="1" applyAlignment="1">
      <alignment horizontal="left"/>
    </xf>
    <xf numFmtId="0" fontId="3" fillId="3" borderId="5" xfId="0" applyFont="1" applyFill="1" applyBorder="1"/>
    <xf numFmtId="0" fontId="3" fillId="3" borderId="10" xfId="0" applyFont="1" applyFill="1" applyBorder="1" applyAlignment="1">
      <alignment horizontal="left"/>
    </xf>
    <xf numFmtId="1" fontId="0" fillId="0" borderId="0" xfId="0" applyNumberFormat="1" applyFill="1" applyBorder="1" applyAlignment="1">
      <alignment horizontal="center"/>
    </xf>
    <xf numFmtId="1" fontId="0" fillId="0" borderId="1" xfId="0" applyNumberFormat="1" applyFill="1" applyBorder="1" applyAlignment="1">
      <alignment horizontal="center"/>
    </xf>
    <xf numFmtId="1" fontId="2" fillId="0" borderId="0" xfId="0" applyNumberFormat="1" applyFont="1"/>
    <xf numFmtId="0" fontId="3" fillId="3" borderId="8" xfId="0" applyFont="1" applyFill="1" applyBorder="1"/>
    <xf numFmtId="2" fontId="2" fillId="3" borderId="0" xfId="0" applyNumberFormat="1" applyFont="1" applyFill="1"/>
    <xf numFmtId="2" fontId="2" fillId="3" borderId="11" xfId="0" applyNumberFormat="1" applyFont="1" applyFill="1" applyBorder="1"/>
    <xf numFmtId="1" fontId="2" fillId="3" borderId="0" xfId="0" applyNumberFormat="1" applyFont="1" applyFill="1"/>
    <xf numFmtId="2" fontId="0" fillId="3" borderId="0" xfId="0" applyNumberFormat="1" applyFill="1"/>
    <xf numFmtId="165" fontId="0" fillId="3" borderId="1" xfId="0" applyNumberFormat="1" applyFill="1" applyBorder="1" applyAlignment="1">
      <alignment horizontal="center"/>
    </xf>
    <xf numFmtId="10" fontId="0" fillId="3" borderId="1" xfId="1" applyNumberFormat="1" applyFont="1" applyFill="1" applyBorder="1" applyAlignment="1">
      <alignment horizontal="center"/>
    </xf>
    <xf numFmtId="0" fontId="2" fillId="3" borderId="0" xfId="0" applyFont="1" applyFill="1"/>
    <xf numFmtId="1" fontId="2" fillId="3" borderId="11" xfId="0" applyNumberFormat="1" applyFont="1" applyFill="1" applyBorder="1"/>
    <xf numFmtId="0" fontId="2" fillId="0" borderId="0" xfId="0" applyFont="1" applyAlignment="1">
      <alignment horizontal="center"/>
    </xf>
    <xf numFmtId="0" fontId="4" fillId="0" borderId="0" xfId="0" applyFont="1"/>
    <xf numFmtId="2" fontId="2" fillId="0" borderId="0" xfId="0" applyNumberFormat="1" applyFont="1"/>
    <xf numFmtId="1" fontId="0" fillId="0" borderId="0" xfId="0" applyNumberFormat="1" applyAlignment="1">
      <alignment horizontal="center"/>
    </xf>
    <xf numFmtId="0" fontId="2" fillId="3" borderId="11" xfId="0" applyFont="1" applyFill="1" applyBorder="1"/>
    <xf numFmtId="165" fontId="0" fillId="0" borderId="1" xfId="0" applyNumberFormat="1" applyBorder="1" applyAlignment="1">
      <alignment horizontal="center"/>
    </xf>
    <xf numFmtId="0" fontId="0" fillId="0" borderId="1" xfId="0" applyBorder="1"/>
    <xf numFmtId="0" fontId="0" fillId="0" borderId="0" xfId="0" applyFill="1" applyBorder="1"/>
    <xf numFmtId="2" fontId="2" fillId="0" borderId="0" xfId="0" applyNumberFormat="1" applyFont="1" applyFill="1" applyBorder="1"/>
    <xf numFmtId="0" fontId="0" fillId="5" borderId="1" xfId="0" applyFill="1" applyBorder="1" applyAlignment="1">
      <alignment horizontal="center"/>
    </xf>
    <xf numFmtId="1" fontId="6" fillId="0" borderId="1" xfId="0" applyNumberFormat="1" applyFont="1" applyBorder="1" applyAlignment="1">
      <alignment horizontal="center" vertical="center"/>
    </xf>
    <xf numFmtId="0" fontId="6" fillId="0" borderId="1" xfId="0" applyFont="1" applyBorder="1" applyAlignment="1">
      <alignment horizontal="center" vertical="center"/>
    </xf>
    <xf numFmtId="166"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xf>
    <xf numFmtId="1" fontId="2" fillId="0" borderId="0" xfId="0" applyNumberFormat="1" applyFont="1" applyBorder="1" applyAlignment="1">
      <alignment horizontal="center"/>
    </xf>
    <xf numFmtId="0" fontId="6" fillId="0" borderId="1" xfId="0" applyFont="1" applyBorder="1" applyAlignment="1">
      <alignment horizontal="center"/>
    </xf>
    <xf numFmtId="0" fontId="1" fillId="0" borderId="0" xfId="0" applyFont="1"/>
    <xf numFmtId="2" fontId="1" fillId="0" borderId="0" xfId="0" applyNumberFormat="1" applyFont="1"/>
    <xf numFmtId="2" fontId="1" fillId="0" borderId="1" xfId="0" applyNumberFormat="1" applyFont="1" applyBorder="1"/>
    <xf numFmtId="0" fontId="6" fillId="4" borderId="1" xfId="0" applyFont="1" applyFill="1" applyBorder="1" applyAlignment="1">
      <alignment horizontal="center" vertical="center"/>
    </xf>
    <xf numFmtId="2" fontId="6" fillId="4" borderId="1" xfId="0"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66" fontId="6" fillId="4" borderId="1" xfId="0" applyNumberFormat="1" applyFont="1" applyFill="1" applyBorder="1" applyAlignment="1">
      <alignment horizontal="center" vertical="center"/>
    </xf>
    <xf numFmtId="2" fontId="1" fillId="4" borderId="1" xfId="0" applyNumberFormat="1" applyFont="1" applyFill="1" applyBorder="1"/>
    <xf numFmtId="0" fontId="1" fillId="0" borderId="1" xfId="0" applyFont="1" applyBorder="1" applyAlignment="1">
      <alignment horizontal="center"/>
    </xf>
    <xf numFmtId="1" fontId="1" fillId="0" borderId="1" xfId="0" applyNumberFormat="1" applyFont="1" applyBorder="1"/>
    <xf numFmtId="0" fontId="6" fillId="8" borderId="1" xfId="0" applyFont="1" applyFill="1" applyBorder="1" applyAlignment="1">
      <alignment horizontal="center" vertical="center"/>
    </xf>
    <xf numFmtId="2" fontId="6" fillId="8" borderId="1" xfId="0" applyNumberFormat="1" applyFont="1" applyFill="1" applyBorder="1" applyAlignment="1">
      <alignment horizontal="center" vertical="center"/>
    </xf>
    <xf numFmtId="1" fontId="6" fillId="8" borderId="1" xfId="0" applyNumberFormat="1" applyFont="1" applyFill="1" applyBorder="1" applyAlignment="1">
      <alignment horizontal="center" vertical="center"/>
    </xf>
    <xf numFmtId="166" fontId="6" fillId="8" borderId="1" xfId="0" applyNumberFormat="1" applyFont="1" applyFill="1" applyBorder="1" applyAlignment="1">
      <alignment horizontal="center" vertical="center"/>
    </xf>
    <xf numFmtId="2" fontId="1" fillId="8" borderId="1" xfId="0" applyNumberFormat="1" applyFont="1" applyFill="1" applyBorder="1"/>
    <xf numFmtId="0" fontId="6" fillId="3" borderId="1" xfId="0" applyFont="1" applyFill="1" applyBorder="1" applyAlignment="1">
      <alignment horizontal="center" vertical="center"/>
    </xf>
    <xf numFmtId="2" fontId="6" fillId="3" borderId="1" xfId="0" applyNumberFormat="1" applyFont="1" applyFill="1" applyBorder="1" applyAlignment="1">
      <alignment horizontal="center" vertical="center"/>
    </xf>
    <xf numFmtId="1" fontId="6" fillId="3" borderId="1"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2" fontId="1" fillId="3" borderId="1" xfId="0" applyNumberFormat="1" applyFont="1" applyFill="1" applyBorder="1"/>
    <xf numFmtId="165" fontId="6" fillId="0" borderId="0" xfId="0" applyNumberFormat="1" applyFont="1" applyAlignment="1">
      <alignment horizontal="center" vertical="center"/>
    </xf>
    <xf numFmtId="2" fontId="6" fillId="0" borderId="0" xfId="0" applyNumberFormat="1" applyFont="1" applyAlignment="1">
      <alignment horizontal="center" vertical="center"/>
    </xf>
    <xf numFmtId="0" fontId="1" fillId="0" borderId="0" xfId="0" applyFont="1" applyAlignment="1">
      <alignment horizontal="center"/>
    </xf>
    <xf numFmtId="165" fontId="1" fillId="0" borderId="0" xfId="0" applyNumberFormat="1" applyFont="1"/>
    <xf numFmtId="0" fontId="1" fillId="0" borderId="0" xfId="0" applyFont="1" applyAlignment="1">
      <alignment vertical="center"/>
    </xf>
    <xf numFmtId="0" fontId="1" fillId="0" borderId="0" xfId="0" applyFont="1" applyAlignment="1">
      <alignment vertical="center" wrapText="1"/>
    </xf>
    <xf numFmtId="0" fontId="6" fillId="0" borderId="0" xfId="0" applyFont="1" applyAlignment="1">
      <alignment vertical="center" wrapText="1"/>
    </xf>
    <xf numFmtId="2" fontId="0" fillId="4" borderId="1" xfId="0" applyNumberFormat="1" applyFill="1" applyBorder="1" applyAlignment="1">
      <alignment horizontal="center"/>
    </xf>
    <xf numFmtId="0" fontId="0" fillId="0" borderId="13" xfId="0" applyBorder="1" applyAlignment="1">
      <alignment horizontal="center"/>
    </xf>
    <xf numFmtId="1" fontId="0" fillId="0" borderId="0" xfId="0" applyNumberFormat="1" applyBorder="1" applyAlignment="1">
      <alignment horizontal="center"/>
    </xf>
    <xf numFmtId="0" fontId="0" fillId="0" borderId="6" xfId="0" applyBorder="1" applyAlignment="1">
      <alignment horizontal="center"/>
    </xf>
    <xf numFmtId="1" fontId="0" fillId="0" borderId="6" xfId="0" applyNumberFormat="1" applyBorder="1" applyAlignment="1">
      <alignment horizontal="center"/>
    </xf>
    <xf numFmtId="1" fontId="0" fillId="0" borderId="13" xfId="0" applyNumberFormat="1" applyFill="1" applyBorder="1" applyAlignment="1">
      <alignment horizontal="center"/>
    </xf>
    <xf numFmtId="0" fontId="0" fillId="0" borderId="0" xfId="0" applyFill="1"/>
    <xf numFmtId="2"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3" borderId="0" xfId="0" applyFill="1" applyBorder="1"/>
    <xf numFmtId="0" fontId="2" fillId="3" borderId="0" xfId="0" applyFont="1" applyFill="1" applyBorder="1"/>
    <xf numFmtId="0" fontId="0" fillId="0" borderId="9" xfId="0" applyBorder="1"/>
    <xf numFmtId="165" fontId="0" fillId="0" borderId="0" xfId="0" applyNumberFormat="1"/>
    <xf numFmtId="0" fontId="0" fillId="3" borderId="13" xfId="0" applyFill="1" applyBorder="1" applyAlignment="1">
      <alignment horizontal="center"/>
    </xf>
    <xf numFmtId="0" fontId="0" fillId="0" borderId="6" xfId="0" applyFill="1" applyBorder="1" applyAlignment="1">
      <alignment horizontal="center"/>
    </xf>
    <xf numFmtId="0" fontId="0" fillId="0" borderId="6" xfId="0" applyFill="1" applyBorder="1"/>
    <xf numFmtId="9" fontId="6" fillId="3" borderId="1" xfId="1" applyNumberFormat="1" applyFont="1" applyFill="1" applyBorder="1" applyAlignment="1">
      <alignment horizontal="center" vertical="center"/>
    </xf>
    <xf numFmtId="2" fontId="0" fillId="0" borderId="1" xfId="0" applyNumberFormat="1" applyFill="1" applyBorder="1" applyAlignment="1">
      <alignment horizontal="center"/>
    </xf>
    <xf numFmtId="0" fontId="2" fillId="2" borderId="1" xfId="0" applyFont="1" applyFill="1" applyBorder="1" applyAlignment="1">
      <alignment horizontal="center"/>
    </xf>
    <xf numFmtId="1" fontId="1" fillId="6" borderId="1" xfId="0" applyNumberFormat="1" applyFont="1" applyFill="1" applyBorder="1"/>
    <xf numFmtId="0" fontId="2" fillId="0" borderId="0" xfId="0" applyFont="1" applyFill="1" applyBorder="1" applyAlignment="1">
      <alignment horizontal="center" vertical="center"/>
    </xf>
    <xf numFmtId="1" fontId="1" fillId="0" borderId="0" xfId="0" applyNumberFormat="1" applyFont="1" applyFill="1" applyBorder="1"/>
    <xf numFmtId="0" fontId="6" fillId="0" borderId="1" xfId="0" applyFont="1" applyFill="1" applyBorder="1" applyAlignment="1">
      <alignment horizontal="center" vertical="center"/>
    </xf>
    <xf numFmtId="2" fontId="6" fillId="0" borderId="1" xfId="0" applyNumberFormat="1" applyFont="1" applyFill="1" applyBorder="1" applyAlignment="1">
      <alignment horizontal="center" vertical="center"/>
    </xf>
    <xf numFmtId="1" fontId="6" fillId="0" borderId="1" xfId="0" applyNumberFormat="1" applyFont="1" applyFill="1" applyBorder="1" applyAlignment="1">
      <alignment horizontal="center" vertical="center"/>
    </xf>
    <xf numFmtId="166" fontId="6" fillId="0" borderId="1" xfId="0" applyNumberFormat="1" applyFont="1" applyFill="1" applyBorder="1" applyAlignment="1">
      <alignment horizontal="center" vertical="center"/>
    </xf>
    <xf numFmtId="2" fontId="1" fillId="0" borderId="1" xfId="0" applyNumberFormat="1" applyFont="1" applyFill="1" applyBorder="1"/>
    <xf numFmtId="0" fontId="3" fillId="0" borderId="1" xfId="0" applyFont="1" applyFill="1" applyBorder="1"/>
    <xf numFmtId="0" fontId="1" fillId="0" borderId="1" xfId="0" applyFont="1" applyBorder="1"/>
    <xf numFmtId="1" fontId="1" fillId="0" borderId="1" xfId="0" applyNumberFormat="1" applyFont="1" applyBorder="1" applyAlignment="1">
      <alignment horizontal="center"/>
    </xf>
    <xf numFmtId="2" fontId="1" fillId="0" borderId="1" xfId="0" applyNumberFormat="1" applyFont="1" applyBorder="1" applyAlignment="1">
      <alignment horizontal="center"/>
    </xf>
    <xf numFmtId="2" fontId="1" fillId="0" borderId="1" xfId="0" applyNumberFormat="1" applyFont="1" applyFill="1" applyBorder="1" applyAlignment="1">
      <alignment horizontal="center"/>
    </xf>
    <xf numFmtId="2" fontId="1" fillId="4" borderId="1" xfId="0" applyNumberFormat="1" applyFont="1" applyFill="1" applyBorder="1" applyAlignment="1">
      <alignment horizontal="center"/>
    </xf>
    <xf numFmtId="2" fontId="1" fillId="8" borderId="1" xfId="0" applyNumberFormat="1" applyFont="1" applyFill="1" applyBorder="1" applyAlignment="1">
      <alignment horizontal="center"/>
    </xf>
    <xf numFmtId="2" fontId="1" fillId="3" borderId="1" xfId="0" applyNumberFormat="1" applyFont="1" applyFill="1" applyBorder="1" applyAlignment="1">
      <alignment horizontal="center"/>
    </xf>
    <xf numFmtId="0" fontId="9" fillId="0" borderId="0" xfId="0" applyFont="1"/>
    <xf numFmtId="0" fontId="9" fillId="9" borderId="1" xfId="0" applyFont="1" applyFill="1" applyBorder="1" applyAlignment="1">
      <alignment horizontal="center"/>
    </xf>
    <xf numFmtId="1" fontId="9" fillId="0" borderId="1" xfId="0" applyNumberFormat="1" applyFont="1" applyFill="1" applyBorder="1" applyAlignment="1">
      <alignment horizontal="center" vertical="center"/>
    </xf>
    <xf numFmtId="1" fontId="9" fillId="0" borderId="1" xfId="0" applyNumberFormat="1" applyFont="1" applyFill="1" applyBorder="1" applyAlignment="1">
      <alignment horizontal="center"/>
    </xf>
    <xf numFmtId="1" fontId="9" fillId="0" borderId="1" xfId="0" applyNumberFormat="1" applyFont="1" applyBorder="1" applyAlignment="1">
      <alignment horizontal="center"/>
    </xf>
    <xf numFmtId="0" fontId="0" fillId="0" borderId="8" xfId="0" applyBorder="1"/>
    <xf numFmtId="2" fontId="6" fillId="0" borderId="8" xfId="0" applyNumberFormat="1" applyFont="1" applyFill="1" applyBorder="1" applyAlignment="1">
      <alignment horizontal="center" vertical="center"/>
    </xf>
    <xf numFmtId="2" fontId="6" fillId="0" borderId="1" xfId="0" applyNumberFormat="1" applyFont="1" applyBorder="1" applyAlignment="1">
      <alignment horizontal="center"/>
    </xf>
    <xf numFmtId="2"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xf numFmtId="2" fontId="6" fillId="0" borderId="0" xfId="0" applyNumberFormat="1" applyFont="1" applyFill="1" applyBorder="1" applyAlignment="1">
      <alignment horizontal="center"/>
    </xf>
    <xf numFmtId="0" fontId="6" fillId="0" borderId="0" xfId="0" applyFont="1" applyFill="1"/>
    <xf numFmtId="0" fontId="6" fillId="0" borderId="0" xfId="0" applyFont="1" applyFill="1" applyBorder="1" applyAlignment="1">
      <alignment horizontal="center"/>
    </xf>
    <xf numFmtId="0" fontId="6" fillId="0" borderId="0" xfId="0" applyFont="1" applyFill="1" applyBorder="1" applyAlignment="1"/>
    <xf numFmtId="0" fontId="6" fillId="0" borderId="2" xfId="0" applyFont="1" applyBorder="1" applyAlignment="1">
      <alignment horizontal="center" vertical="center"/>
    </xf>
    <xf numFmtId="2" fontId="6" fillId="0" borderId="8" xfId="0" applyNumberFormat="1" applyFont="1" applyBorder="1" applyAlignment="1">
      <alignment horizontal="center" vertical="center"/>
    </xf>
    <xf numFmtId="0" fontId="0" fillId="0" borderId="4" xfId="0" applyBorder="1" applyAlignment="1">
      <alignment horizontal="center"/>
    </xf>
    <xf numFmtId="0" fontId="12" fillId="10" borderId="1" xfId="0" applyFont="1" applyFill="1" applyBorder="1" applyAlignment="1">
      <alignment horizontal="center" vertical="center" wrapText="1"/>
    </xf>
    <xf numFmtId="2" fontId="12" fillId="10" borderId="1" xfId="0" applyNumberFormat="1"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0" fontId="12" fillId="10" borderId="4" xfId="0" applyFont="1" applyFill="1" applyBorder="1" applyAlignment="1">
      <alignment horizontal="center" vertical="center" wrapText="1"/>
    </xf>
    <xf numFmtId="0" fontId="0"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4" xfId="0" applyFont="1" applyBorder="1" applyAlignment="1">
      <alignment horizontal="center" vertical="center"/>
    </xf>
    <xf numFmtId="0" fontId="12" fillId="0" borderId="8" xfId="0" applyFont="1" applyBorder="1" applyAlignment="1">
      <alignment horizontal="center" vertical="center"/>
    </xf>
    <xf numFmtId="0" fontId="12" fillId="0" borderId="14" xfId="0" applyFont="1" applyBorder="1" applyAlignment="1">
      <alignment vertical="center"/>
    </xf>
    <xf numFmtId="0" fontId="12" fillId="0" borderId="14" xfId="0" applyFont="1" applyBorder="1" applyAlignment="1">
      <alignment horizontal="center" vertical="center"/>
    </xf>
    <xf numFmtId="0" fontId="12" fillId="0" borderId="12" xfId="0" applyFont="1" applyBorder="1" applyAlignment="1">
      <alignment horizontal="center" vertical="center"/>
    </xf>
    <xf numFmtId="0" fontId="12" fillId="0" borderId="12" xfId="0" applyFont="1" applyBorder="1" applyAlignment="1">
      <alignment vertical="center"/>
    </xf>
    <xf numFmtId="0" fontId="12" fillId="0" borderId="11" xfId="0" applyFont="1" applyBorder="1" applyAlignment="1">
      <alignment horizontal="center" vertical="center"/>
    </xf>
    <xf numFmtId="0" fontId="12" fillId="0" borderId="9" xfId="0" applyFont="1" applyBorder="1" applyAlignment="1">
      <alignment vertical="center"/>
    </xf>
    <xf numFmtId="9" fontId="12" fillId="0" borderId="0" xfId="0" applyNumberFormat="1" applyFont="1" applyBorder="1" applyAlignment="1">
      <alignment horizontal="center" vertical="center"/>
    </xf>
    <xf numFmtId="9" fontId="12" fillId="0" borderId="15" xfId="0" applyNumberFormat="1" applyFont="1" applyBorder="1" applyAlignment="1">
      <alignment horizontal="center" vertical="center"/>
    </xf>
    <xf numFmtId="0" fontId="12" fillId="0" borderId="4" xfId="0" applyFont="1" applyBorder="1" applyAlignment="1">
      <alignment vertical="center"/>
    </xf>
    <xf numFmtId="0" fontId="12" fillId="0" borderId="15" xfId="0" applyFont="1" applyBorder="1" applyAlignment="1">
      <alignment horizontal="center" vertical="center"/>
    </xf>
    <xf numFmtId="0" fontId="12" fillId="0" borderId="13" xfId="0" applyFont="1" applyBorder="1" applyAlignment="1">
      <alignment horizontal="center" vertical="center"/>
    </xf>
    <xf numFmtId="0" fontId="12" fillId="0" borderId="1" xfId="0" applyFont="1" applyBorder="1" applyAlignment="1">
      <alignment horizontal="center" vertical="center" wrapText="1"/>
    </xf>
    <xf numFmtId="0" fontId="12" fillId="0" borderId="4" xfId="0" applyFont="1" applyBorder="1" applyAlignment="1">
      <alignment vertical="center" wrapText="1"/>
    </xf>
    <xf numFmtId="0" fontId="12" fillId="0" borderId="4" xfId="0" applyFont="1" applyBorder="1" applyAlignment="1">
      <alignment horizontal="center" vertical="center" wrapText="1"/>
    </xf>
    <xf numFmtId="0" fontId="0" fillId="0" borderId="1" xfId="0" applyFont="1" applyFill="1" applyBorder="1"/>
    <xf numFmtId="0" fontId="0" fillId="0" borderId="1" xfId="0" applyFont="1" applyBorder="1" applyAlignment="1">
      <alignment vertical="center" wrapText="1"/>
    </xf>
    <xf numFmtId="9" fontId="12" fillId="0" borderId="20" xfId="0" applyNumberFormat="1" applyFont="1" applyBorder="1" applyAlignment="1">
      <alignment horizontal="center" vertical="center" wrapText="1"/>
    </xf>
    <xf numFmtId="0" fontId="12" fillId="0" borderId="20"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17" xfId="0" applyFont="1" applyBorder="1" applyAlignment="1">
      <alignment horizontal="center" vertical="center" wrapText="1"/>
    </xf>
    <xf numFmtId="0" fontId="2" fillId="9" borderId="1" xfId="0" applyFont="1" applyFill="1" applyBorder="1" applyAlignment="1">
      <alignment horizontal="center" vertical="center"/>
    </xf>
    <xf numFmtId="0" fontId="0" fillId="0" borderId="1" xfId="0" applyFont="1" applyBorder="1" applyAlignment="1">
      <alignment horizontal="center"/>
    </xf>
    <xf numFmtId="0" fontId="12" fillId="0" borderId="4" xfId="0" applyFont="1" applyFill="1" applyBorder="1" applyAlignment="1">
      <alignment horizontal="center" vertical="center"/>
    </xf>
    <xf numFmtId="0" fontId="6" fillId="0" borderId="13" xfId="0" applyFont="1" applyBorder="1" applyAlignment="1">
      <alignment horizontal="center" vertical="center"/>
    </xf>
    <xf numFmtId="2" fontId="6" fillId="0" borderId="13" xfId="0" applyNumberFormat="1" applyFont="1" applyBorder="1" applyAlignment="1">
      <alignment horizontal="center" vertical="center"/>
    </xf>
    <xf numFmtId="2" fontId="8" fillId="3" borderId="13" xfId="0" applyNumberFormat="1" applyFont="1" applyFill="1" applyBorder="1" applyAlignment="1">
      <alignment horizontal="center" vertical="center"/>
    </xf>
    <xf numFmtId="1" fontId="6" fillId="3" borderId="13" xfId="0" applyNumberFormat="1" applyFont="1" applyFill="1" applyBorder="1" applyAlignment="1">
      <alignment horizontal="center" vertical="center"/>
    </xf>
    <xf numFmtId="166" fontId="8" fillId="3" borderId="13" xfId="0" applyNumberFormat="1" applyFont="1" applyFill="1" applyBorder="1" applyAlignment="1">
      <alignment horizontal="center" vertical="center"/>
    </xf>
    <xf numFmtId="2" fontId="5" fillId="3" borderId="13" xfId="0" applyNumberFormat="1" applyFont="1" applyFill="1" applyBorder="1" applyAlignment="1">
      <alignment horizontal="center"/>
    </xf>
    <xf numFmtId="1" fontId="6" fillId="0" borderId="13" xfId="0" applyNumberFormat="1" applyFont="1" applyBorder="1" applyAlignment="1">
      <alignment horizontal="center" vertical="center"/>
    </xf>
    <xf numFmtId="166" fontId="6" fillId="0" borderId="13" xfId="0" applyNumberFormat="1" applyFont="1" applyBorder="1" applyAlignment="1">
      <alignment horizontal="center" vertical="center"/>
    </xf>
    <xf numFmtId="2" fontId="5" fillId="3" borderId="13" xfId="0" applyNumberFormat="1" applyFont="1" applyFill="1" applyBorder="1"/>
    <xf numFmtId="0" fontId="6" fillId="0" borderId="6" xfId="0" applyFont="1" applyFill="1" applyBorder="1" applyAlignment="1">
      <alignment horizontal="center" vertical="center"/>
    </xf>
    <xf numFmtId="2" fontId="6" fillId="0" borderId="6" xfId="0" applyNumberFormat="1" applyFont="1" applyFill="1" applyBorder="1" applyAlignment="1">
      <alignment horizontal="center" vertical="center"/>
    </xf>
    <xf numFmtId="2" fontId="8" fillId="0" borderId="6"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66" fontId="8" fillId="0" borderId="6" xfId="0" applyNumberFormat="1" applyFont="1" applyFill="1" applyBorder="1" applyAlignment="1">
      <alignment horizontal="center" vertical="center"/>
    </xf>
    <xf numFmtId="2" fontId="5" fillId="0" borderId="6" xfId="0" applyNumberFormat="1" applyFont="1" applyFill="1" applyBorder="1"/>
    <xf numFmtId="0" fontId="0" fillId="3" borderId="1" xfId="0" applyFont="1" applyFill="1" applyBorder="1" applyAlignment="1">
      <alignment horizontal="center"/>
    </xf>
    <xf numFmtId="0" fontId="2" fillId="9" borderId="4" xfId="0" applyFont="1" applyFill="1" applyBorder="1" applyAlignment="1">
      <alignment vertical="center"/>
    </xf>
    <xf numFmtId="0" fontId="0" fillId="0" borderId="0" xfId="0" applyNumberFormat="1"/>
    <xf numFmtId="0" fontId="0" fillId="5" borderId="1" xfId="0" applyFill="1" applyBorder="1"/>
    <xf numFmtId="0" fontId="0" fillId="11" borderId="0" xfId="0" applyFill="1"/>
    <xf numFmtId="0" fontId="0" fillId="11" borderId="0" xfId="0" applyFill="1" applyBorder="1" applyAlignment="1">
      <alignment horizontal="center"/>
    </xf>
    <xf numFmtId="0" fontId="16" fillId="11" borderId="0" xfId="0" applyFont="1" applyFill="1" applyBorder="1" applyAlignment="1">
      <alignment horizontal="left"/>
    </xf>
    <xf numFmtId="2" fontId="0" fillId="11" borderId="0" xfId="0" applyNumberFormat="1" applyFill="1" applyBorder="1" applyAlignment="1">
      <alignment horizontal="center"/>
    </xf>
    <xf numFmtId="49" fontId="2" fillId="11" borderId="0" xfId="0" applyNumberFormat="1" applyFont="1" applyFill="1" applyBorder="1" applyAlignment="1">
      <alignment horizontal="left"/>
    </xf>
    <xf numFmtId="12" fontId="0" fillId="0" borderId="0" xfId="0" applyNumberFormat="1"/>
    <xf numFmtId="0" fontId="5" fillId="5" borderId="13" xfId="0" applyFont="1" applyFill="1" applyBorder="1" applyAlignment="1">
      <alignment horizontal="center"/>
    </xf>
    <xf numFmtId="0" fontId="0" fillId="5" borderId="13" xfId="0" applyFill="1" applyBorder="1" applyAlignment="1">
      <alignment horizontal="center"/>
    </xf>
    <xf numFmtId="0" fontId="3" fillId="5" borderId="13" xfId="0" applyFont="1" applyFill="1" applyBorder="1" applyAlignment="1">
      <alignment horizontal="center"/>
    </xf>
    <xf numFmtId="0" fontId="0" fillId="5" borderId="0" xfId="0" applyFill="1"/>
    <xf numFmtId="0" fontId="5" fillId="5" borderId="14" xfId="0" applyFont="1" applyFill="1" applyBorder="1" applyAlignment="1">
      <alignment horizontal="center"/>
    </xf>
    <xf numFmtId="0" fontId="0" fillId="5" borderId="14" xfId="0" applyFill="1" applyBorder="1" applyAlignment="1">
      <alignment horizontal="center"/>
    </xf>
    <xf numFmtId="0" fontId="0" fillId="0" borderId="8" xfId="0" applyFill="1" applyBorder="1" applyAlignment="1"/>
    <xf numFmtId="0" fontId="0" fillId="0" borderId="0" xfId="0" applyFill="1" applyBorder="1" applyAlignment="1"/>
    <xf numFmtId="0" fontId="5" fillId="5" borderId="1" xfId="0" applyFont="1" applyFill="1" applyBorder="1"/>
    <xf numFmtId="0" fontId="6" fillId="5" borderId="2" xfId="0" applyFont="1" applyFill="1" applyBorder="1"/>
    <xf numFmtId="0" fontId="0" fillId="5" borderId="4" xfId="0" applyFill="1" applyBorder="1"/>
    <xf numFmtId="0" fontId="0" fillId="5" borderId="3" xfId="0" applyFill="1" applyBorder="1"/>
    <xf numFmtId="0" fontId="6" fillId="5" borderId="1" xfId="0" applyFont="1" applyFill="1" applyBorder="1"/>
    <xf numFmtId="0" fontId="2" fillId="0" borderId="0" xfId="0" applyFont="1" applyFill="1"/>
    <xf numFmtId="49" fontId="2" fillId="0" borderId="0" xfId="0" applyNumberFormat="1" applyFont="1" applyFill="1" applyBorder="1" applyAlignment="1">
      <alignment horizontal="left"/>
    </xf>
    <xf numFmtId="0" fontId="0" fillId="0" borderId="1" xfId="0" applyBorder="1" applyAlignment="1">
      <alignment horizontal="center" vertical="center"/>
    </xf>
    <xf numFmtId="0" fontId="0" fillId="7" borderId="1" xfId="0" applyFill="1" applyBorder="1" applyAlignment="1">
      <alignment horizontal="center"/>
    </xf>
    <xf numFmtId="0" fontId="0" fillId="7" borderId="1" xfId="0" applyFill="1" applyBorder="1" applyAlignment="1">
      <alignment horizontal="center"/>
    </xf>
    <xf numFmtId="0" fontId="14" fillId="7" borderId="13"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4" fillId="7" borderId="14" xfId="0" applyFont="1" applyFill="1" applyBorder="1" applyAlignment="1">
      <alignment horizontal="center" vertical="center" wrapText="1"/>
    </xf>
    <xf numFmtId="0" fontId="14" fillId="7" borderId="12" xfId="0" applyFont="1" applyFill="1" applyBorder="1" applyAlignment="1">
      <alignment horizontal="center" vertical="center" wrapText="1"/>
    </xf>
    <xf numFmtId="0" fontId="0" fillId="9" borderId="1" xfId="0" applyFill="1" applyBorder="1" applyAlignment="1">
      <alignment horizontal="center"/>
    </xf>
    <xf numFmtId="0" fontId="0" fillId="9" borderId="1" xfId="0" applyFill="1" applyBorder="1"/>
    <xf numFmtId="0" fontId="5" fillId="9" borderId="1" xfId="0" applyFont="1" applyFill="1" applyBorder="1"/>
    <xf numFmtId="0" fontId="5" fillId="9" borderId="13" xfId="0" applyFont="1" applyFill="1" applyBorder="1" applyAlignment="1">
      <alignment horizontal="center"/>
    </xf>
    <xf numFmtId="0" fontId="0" fillId="9" borderId="13" xfId="0" applyFill="1" applyBorder="1" applyAlignment="1">
      <alignment horizontal="center"/>
    </xf>
    <xf numFmtId="0" fontId="3" fillId="9" borderId="13" xfId="0" applyFont="1" applyFill="1" applyBorder="1" applyAlignment="1">
      <alignment horizontal="center"/>
    </xf>
    <xf numFmtId="0" fontId="5" fillId="9" borderId="14" xfId="0" applyFont="1" applyFill="1" applyBorder="1" applyAlignment="1">
      <alignment horizontal="center"/>
    </xf>
    <xf numFmtId="0" fontId="0" fillId="9" borderId="14" xfId="0" applyFill="1" applyBorder="1" applyAlignment="1">
      <alignment horizontal="center"/>
    </xf>
    <xf numFmtId="0" fontId="6" fillId="9" borderId="2" xfId="0" applyFont="1" applyFill="1" applyBorder="1"/>
    <xf numFmtId="0" fontId="0" fillId="9" borderId="4" xfId="0" applyFill="1" applyBorder="1"/>
    <xf numFmtId="0" fontId="0" fillId="9" borderId="3" xfId="0" applyFill="1" applyBorder="1"/>
    <xf numFmtId="0" fontId="6" fillId="9" borderId="1" xfId="0" applyFont="1" applyFill="1" applyBorder="1"/>
    <xf numFmtId="0" fontId="0" fillId="9" borderId="0" xfId="0" applyFill="1"/>
    <xf numFmtId="0" fontId="0" fillId="9" borderId="0" xfId="0" applyFill="1" applyBorder="1"/>
    <xf numFmtId="0" fontId="6" fillId="9" borderId="0" xfId="0" applyFont="1" applyFill="1"/>
    <xf numFmtId="0" fontId="6" fillId="5" borderId="0" xfId="0" applyFont="1" applyFill="1"/>
    <xf numFmtId="1" fontId="0" fillId="0" borderId="0" xfId="0" applyNumberFormat="1"/>
    <xf numFmtId="0" fontId="0" fillId="0" borderId="1" xfId="0" applyBorder="1" applyAlignment="1">
      <alignment horizontal="center"/>
    </xf>
    <xf numFmtId="0" fontId="0" fillId="9" borderId="1" xfId="0" applyFill="1" applyBorder="1" applyAlignment="1">
      <alignment horizontal="center"/>
    </xf>
    <xf numFmtId="0" fontId="0" fillId="3" borderId="13" xfId="0" applyFill="1" applyBorder="1" applyAlignment="1">
      <alignment horizontal="left"/>
    </xf>
    <xf numFmtId="1" fontId="0" fillId="0" borderId="6" xfId="0" applyNumberFormat="1" applyFill="1" applyBorder="1" applyAlignment="1">
      <alignment horizontal="center"/>
    </xf>
    <xf numFmtId="165" fontId="2" fillId="3" borderId="0" xfId="0" applyNumberFormat="1" applyFont="1" applyFill="1"/>
    <xf numFmtId="0" fontId="0" fillId="7" borderId="1" xfId="0" applyFill="1" applyBorder="1" applyAlignment="1">
      <alignment horizontal="center"/>
    </xf>
    <xf numFmtId="0" fontId="0" fillId="0" borderId="1" xfId="0" applyBorder="1" applyAlignment="1">
      <alignment horizontal="center"/>
    </xf>
    <xf numFmtId="0" fontId="0" fillId="5" borderId="1" xfId="0" applyFill="1" applyBorder="1" applyAlignment="1">
      <alignment horizontal="center"/>
    </xf>
    <xf numFmtId="0" fontId="0" fillId="4" borderId="1" xfId="0" applyFill="1" applyBorder="1" applyAlignment="1">
      <alignment horizontal="center"/>
    </xf>
    <xf numFmtId="0" fontId="0" fillId="3" borderId="0" xfId="0" applyFill="1" applyBorder="1" applyAlignment="1">
      <alignment horizontal="left"/>
    </xf>
    <xf numFmtId="0" fontId="0" fillId="3" borderId="0" xfId="0" applyFill="1" applyBorder="1" applyAlignment="1">
      <alignment horizontal="center"/>
    </xf>
    <xf numFmtId="2" fontId="2" fillId="3" borderId="0" xfId="0" applyNumberFormat="1" applyFont="1" applyFill="1" applyBorder="1"/>
    <xf numFmtId="2" fontId="0" fillId="0" borderId="1" xfId="0" applyNumberFormat="1" applyBorder="1"/>
    <xf numFmtId="0" fontId="0" fillId="3" borderId="5" xfId="0" applyFill="1" applyBorder="1" applyAlignment="1">
      <alignment horizontal="center"/>
    </xf>
    <xf numFmtId="167" fontId="2" fillId="3" borderId="0" xfId="0" applyNumberFormat="1" applyFont="1" applyFill="1"/>
    <xf numFmtId="0" fontId="0" fillId="3" borderId="1" xfId="0" applyFill="1" applyBorder="1" applyAlignment="1"/>
    <xf numFmtId="0" fontId="0" fillId="0" borderId="1" xfId="0" applyBorder="1" applyAlignment="1">
      <alignment horizontal="left"/>
    </xf>
    <xf numFmtId="1" fontId="0" fillId="6" borderId="1" xfId="0" applyNumberFormat="1" applyFill="1" applyBorder="1" applyAlignment="1">
      <alignment horizontal="center"/>
    </xf>
    <xf numFmtId="0" fontId="0" fillId="13" borderId="1" xfId="0" applyFill="1" applyBorder="1" applyAlignment="1">
      <alignment horizontal="center"/>
    </xf>
    <xf numFmtId="2" fontId="2" fillId="3" borderId="1" xfId="0" applyNumberFormat="1" applyFont="1" applyFill="1" applyBorder="1"/>
    <xf numFmtId="1" fontId="2" fillId="3" borderId="1" xfId="0" applyNumberFormat="1" applyFont="1" applyFill="1" applyBorder="1"/>
    <xf numFmtId="0" fontId="0" fillId="13" borderId="1" xfId="0" applyFill="1" applyBorder="1" applyAlignment="1">
      <alignment horizontal="left"/>
    </xf>
    <xf numFmtId="0" fontId="0" fillId="13" borderId="1" xfId="0" applyFill="1" applyBorder="1"/>
    <xf numFmtId="0" fontId="2" fillId="0" borderId="1" xfId="0" applyFont="1" applyBorder="1"/>
    <xf numFmtId="0" fontId="2" fillId="3" borderId="1" xfId="0" applyFont="1" applyFill="1" applyBorder="1"/>
    <xf numFmtId="2" fontId="2" fillId="0" borderId="1" xfId="0" applyNumberFormat="1" applyFont="1" applyBorder="1" applyAlignment="1">
      <alignment horizontal="center"/>
    </xf>
    <xf numFmtId="1" fontId="2" fillId="0" borderId="1" xfId="0" applyNumberFormat="1" applyFont="1" applyBorder="1" applyAlignment="1">
      <alignment horizontal="center"/>
    </xf>
    <xf numFmtId="0" fontId="2" fillId="0" borderId="1" xfId="0" applyFont="1" applyBorder="1" applyAlignment="1">
      <alignment horizontal="center"/>
    </xf>
    <xf numFmtId="0" fontId="2" fillId="0" borderId="0" xfId="0" applyFont="1" applyFill="1" applyBorder="1"/>
    <xf numFmtId="0" fontId="2" fillId="0" borderId="0" xfId="0" applyFont="1" applyFill="1" applyBorder="1" applyAlignment="1"/>
    <xf numFmtId="2" fontId="5" fillId="6" borderId="1" xfId="0" applyNumberFormat="1" applyFont="1" applyFill="1" applyBorder="1" applyAlignment="1">
      <alignment horizontal="center"/>
    </xf>
    <xf numFmtId="1" fontId="5" fillId="6" borderId="1" xfId="0" applyNumberFormat="1" applyFont="1" applyFill="1" applyBorder="1" applyAlignment="1">
      <alignment horizontal="center"/>
    </xf>
    <xf numFmtId="0" fontId="0" fillId="6" borderId="1" xfId="0" applyFill="1" applyBorder="1" applyAlignment="1">
      <alignment horizontal="center"/>
    </xf>
    <xf numFmtId="0" fontId="0" fillId="14" borderId="1" xfId="0" applyFill="1" applyBorder="1" applyAlignment="1">
      <alignment horizontal="center"/>
    </xf>
    <xf numFmtId="1" fontId="0" fillId="14" borderId="1" xfId="0" applyNumberFormat="1" applyFill="1" applyBorder="1" applyAlignment="1">
      <alignment horizontal="center"/>
    </xf>
    <xf numFmtId="0" fontId="0" fillId="14" borderId="1" xfId="0" applyFill="1" applyBorder="1"/>
    <xf numFmtId="0" fontId="0" fillId="6" borderId="1" xfId="0" applyFill="1" applyBorder="1"/>
    <xf numFmtId="0" fontId="21" fillId="0" borderId="0" xfId="2" applyFont="1" applyBorder="1" applyAlignment="1">
      <alignment vertical="center"/>
    </xf>
    <xf numFmtId="0" fontId="21" fillId="0" borderId="27" xfId="2" applyFont="1" applyBorder="1" applyAlignment="1">
      <alignment vertical="center"/>
    </xf>
    <xf numFmtId="0" fontId="22" fillId="0" borderId="0" xfId="2" applyFont="1" applyBorder="1" applyAlignment="1">
      <alignment vertical="center"/>
    </xf>
    <xf numFmtId="0" fontId="25" fillId="0" borderId="0" xfId="2" applyFont="1" applyBorder="1" applyAlignment="1">
      <alignment vertical="center"/>
    </xf>
    <xf numFmtId="0" fontId="25" fillId="0" borderId="0" xfId="2" applyFont="1" applyBorder="1" applyAlignment="1">
      <alignment horizontal="center" vertical="center"/>
    </xf>
    <xf numFmtId="0" fontId="27" fillId="15" borderId="0" xfId="3" applyFont="1" applyFill="1" applyAlignment="1">
      <alignment vertical="center"/>
    </xf>
    <xf numFmtId="0" fontId="29" fillId="15" borderId="0" xfId="3" applyFont="1" applyFill="1" applyAlignment="1">
      <alignment vertical="center"/>
    </xf>
    <xf numFmtId="0" fontId="31" fillId="0" borderId="0" xfId="2" applyFont="1"/>
    <xf numFmtId="0" fontId="31" fillId="0" borderId="0" xfId="2" applyFont="1" applyAlignment="1">
      <alignment horizontal="center"/>
    </xf>
    <xf numFmtId="0" fontId="31" fillId="0" borderId="4" xfId="2" applyFont="1" applyFill="1" applyBorder="1" applyAlignment="1">
      <alignment horizontal="center" vertical="center"/>
    </xf>
    <xf numFmtId="0" fontId="31" fillId="15" borderId="1" xfId="2" applyFont="1" applyFill="1" applyBorder="1" applyAlignment="1">
      <alignment horizontal="center" vertical="center"/>
    </xf>
    <xf numFmtId="0" fontId="31" fillId="0" borderId="1" xfId="2" applyFont="1" applyFill="1" applyBorder="1" applyAlignment="1">
      <alignment horizontal="center" vertical="center"/>
    </xf>
    <xf numFmtId="0" fontId="31" fillId="0" borderId="2" xfId="2" applyFont="1" applyFill="1" applyBorder="1" applyAlignment="1">
      <alignment horizontal="center" vertical="center"/>
    </xf>
    <xf numFmtId="0" fontId="31" fillId="17" borderId="4" xfId="2" applyFont="1" applyFill="1" applyBorder="1" applyAlignment="1">
      <alignment horizontal="center" vertical="center"/>
    </xf>
    <xf numFmtId="0" fontId="31" fillId="17" borderId="1" xfId="2" applyFont="1" applyFill="1" applyBorder="1" applyAlignment="1">
      <alignment horizontal="center" vertical="center"/>
    </xf>
    <xf numFmtId="0" fontId="33" fillId="0" borderId="1" xfId="2" applyFont="1" applyFill="1" applyBorder="1" applyAlignment="1">
      <alignment horizontal="center" vertical="center"/>
    </xf>
    <xf numFmtId="0" fontId="31" fillId="0" borderId="0" xfId="2" applyFont="1" applyFill="1"/>
    <xf numFmtId="0" fontId="31" fillId="0" borderId="3" xfId="2" applyFont="1" applyFill="1" applyBorder="1" applyAlignment="1">
      <alignment horizontal="right"/>
    </xf>
    <xf numFmtId="0" fontId="31" fillId="0" borderId="3" xfId="2" applyFont="1" applyFill="1" applyBorder="1"/>
    <xf numFmtId="0" fontId="31" fillId="0" borderId="3" xfId="2" applyFont="1" applyFill="1" applyBorder="1" applyAlignment="1">
      <alignment horizontal="left"/>
    </xf>
    <xf numFmtId="169" fontId="31" fillId="0" borderId="3" xfId="2" applyNumberFormat="1" applyFont="1" applyFill="1" applyBorder="1" applyAlignment="1">
      <alignment horizontal="left"/>
    </xf>
    <xf numFmtId="169" fontId="31" fillId="0" borderId="3" xfId="2" applyNumberFormat="1" applyFont="1" applyFill="1" applyBorder="1" applyAlignment="1">
      <alignment horizontal="left" vertical="center"/>
    </xf>
    <xf numFmtId="0" fontId="31" fillId="0" borderId="3" xfId="2" applyFont="1" applyBorder="1" applyAlignment="1">
      <alignment horizontal="right"/>
    </xf>
    <xf numFmtId="169" fontId="31" fillId="0" borderId="3" xfId="2" applyNumberFormat="1" applyFont="1" applyBorder="1" applyAlignment="1">
      <alignment horizontal="left"/>
    </xf>
    <xf numFmtId="0" fontId="31" fillId="0" borderId="3" xfId="2" applyFont="1" applyBorder="1"/>
    <xf numFmtId="0" fontId="31" fillId="0" borderId="3" xfId="2" applyFont="1" applyFill="1" applyBorder="1" applyAlignment="1">
      <alignment horizontal="left" vertical="top"/>
    </xf>
    <xf numFmtId="170" fontId="31" fillId="0" borderId="3" xfId="2" applyNumberFormat="1" applyFont="1" applyFill="1" applyBorder="1" applyAlignment="1">
      <alignment horizontal="left" vertical="center"/>
    </xf>
    <xf numFmtId="0" fontId="31" fillId="0" borderId="3" xfId="2" quotePrefix="1" applyFont="1" applyFill="1" applyBorder="1" applyAlignment="1">
      <alignment horizontal="right"/>
    </xf>
    <xf numFmtId="10" fontId="31" fillId="0" borderId="3" xfId="2" applyNumberFormat="1" applyFont="1" applyFill="1" applyBorder="1" applyAlignment="1">
      <alignment horizontal="left"/>
    </xf>
    <xf numFmtId="0" fontId="34" fillId="0" borderId="3" xfId="2" applyFont="1" applyFill="1" applyBorder="1" applyAlignment="1">
      <alignment horizontal="right"/>
    </xf>
    <xf numFmtId="171" fontId="31" fillId="19" borderId="3" xfId="4" applyNumberFormat="1" applyFont="1" applyFill="1" applyBorder="1" applyAlignment="1">
      <alignment horizontal="left"/>
    </xf>
    <xf numFmtId="0" fontId="34" fillId="18" borderId="3" xfId="2" applyFont="1" applyFill="1" applyBorder="1"/>
    <xf numFmtId="0" fontId="31" fillId="18" borderId="3" xfId="2" applyFont="1" applyFill="1" applyBorder="1"/>
    <xf numFmtId="172" fontId="31" fillId="0" borderId="3" xfId="2" applyNumberFormat="1" applyFont="1" applyBorder="1" applyAlignment="1">
      <alignment horizontal="left"/>
    </xf>
    <xf numFmtId="0" fontId="31" fillId="0" borderId="3" xfId="2" quotePrefix="1" applyFont="1" applyBorder="1" applyAlignment="1">
      <alignment horizontal="right"/>
    </xf>
    <xf numFmtId="4" fontId="31" fillId="0" borderId="3" xfId="2" applyNumberFormat="1" applyFont="1" applyBorder="1" applyAlignment="1">
      <alignment horizontal="left"/>
    </xf>
    <xf numFmtId="168" fontId="31" fillId="0" borderId="3" xfId="2" applyNumberFormat="1" applyFont="1" applyBorder="1" applyAlignment="1">
      <alignment horizontal="left"/>
    </xf>
    <xf numFmtId="168" fontId="31" fillId="0" borderId="3" xfId="4" applyNumberFormat="1" applyFont="1" applyFill="1" applyBorder="1" applyAlignment="1">
      <alignment horizontal="left"/>
    </xf>
    <xf numFmtId="9" fontId="36" fillId="0" borderId="3" xfId="2" applyNumberFormat="1" applyFont="1" applyFill="1" applyBorder="1" applyAlignment="1">
      <alignment horizontal="left"/>
    </xf>
    <xf numFmtId="169" fontId="31" fillId="0" borderId="3" xfId="4" applyNumberFormat="1" applyFont="1" applyFill="1" applyBorder="1" applyAlignment="1">
      <alignment horizontal="left"/>
    </xf>
    <xf numFmtId="10" fontId="31" fillId="0" borderId="3" xfId="2" applyNumberFormat="1" applyFont="1" applyFill="1" applyBorder="1" applyAlignment="1">
      <alignment horizontal="right"/>
    </xf>
    <xf numFmtId="2" fontId="31" fillId="0" borderId="3" xfId="2" applyNumberFormat="1" applyFont="1" applyFill="1" applyBorder="1" applyAlignment="1">
      <alignment horizontal="left"/>
    </xf>
    <xf numFmtId="171" fontId="31" fillId="0" borderId="3" xfId="4" applyNumberFormat="1" applyFont="1" applyFill="1" applyBorder="1" applyAlignment="1">
      <alignment horizontal="left"/>
    </xf>
    <xf numFmtId="169" fontId="31" fillId="0" borderId="3" xfId="2" applyNumberFormat="1" applyFont="1" applyFill="1" applyBorder="1"/>
    <xf numFmtId="9" fontId="31" fillId="0" borderId="3" xfId="2" applyNumberFormat="1" applyFont="1" applyFill="1" applyBorder="1" applyAlignment="1">
      <alignment horizontal="left"/>
    </xf>
    <xf numFmtId="4" fontId="31" fillId="0" borderId="0" xfId="2" applyNumberFormat="1" applyFont="1" applyAlignment="1">
      <alignment horizontal="left"/>
    </xf>
    <xf numFmtId="0" fontId="18" fillId="0" borderId="1" xfId="2" applyFont="1" applyBorder="1" applyAlignment="1">
      <alignment horizontal="center" vertical="center"/>
    </xf>
    <xf numFmtId="0" fontId="23" fillId="0" borderId="1" xfId="2" applyFont="1" applyBorder="1" applyAlignment="1">
      <alignment horizontal="center" vertical="center"/>
    </xf>
    <xf numFmtId="0" fontId="20" fillId="0" borderId="1" xfId="2" applyFont="1" applyBorder="1" applyAlignment="1">
      <alignment horizontal="center" vertical="center"/>
    </xf>
    <xf numFmtId="0" fontId="25" fillId="0" borderId="1" xfId="2" applyFont="1" applyBorder="1" applyAlignment="1">
      <alignment horizontal="center" vertical="center"/>
    </xf>
    <xf numFmtId="0" fontId="27" fillId="0" borderId="1" xfId="3" applyFont="1" applyBorder="1" applyAlignment="1">
      <alignment vertical="center"/>
    </xf>
    <xf numFmtId="0" fontId="28" fillId="0" borderId="1" xfId="3" applyFont="1" applyFill="1" applyBorder="1" applyAlignment="1"/>
    <xf numFmtId="0" fontId="23" fillId="0" borderId="1" xfId="3" applyFont="1" applyFill="1" applyBorder="1" applyAlignment="1">
      <alignment vertical="center"/>
    </xf>
    <xf numFmtId="0" fontId="27" fillId="20" borderId="1" xfId="3" applyFont="1" applyFill="1" applyBorder="1" applyAlignment="1">
      <alignment vertical="center"/>
    </xf>
    <xf numFmtId="0" fontId="27" fillId="15" borderId="0" xfId="3" applyFont="1" applyFill="1" applyBorder="1" applyAlignment="1">
      <alignment horizontal="left" vertical="center"/>
    </xf>
    <xf numFmtId="0" fontId="27" fillId="15" borderId="0" xfId="3" applyFont="1" applyFill="1" applyAlignment="1">
      <alignment horizontal="center" vertical="center"/>
    </xf>
    <xf numFmtId="0" fontId="24" fillId="0" borderId="0" xfId="3" applyFont="1" applyBorder="1" applyAlignment="1">
      <alignment vertical="center"/>
    </xf>
    <xf numFmtId="0" fontId="27" fillId="17" borderId="29" xfId="3" applyFont="1" applyFill="1" applyBorder="1" applyAlignment="1">
      <alignment vertical="center"/>
    </xf>
    <xf numFmtId="0" fontId="27" fillId="17" borderId="30" xfId="3" applyFont="1" applyFill="1" applyBorder="1" applyAlignment="1">
      <alignment vertical="center"/>
    </xf>
    <xf numFmtId="0" fontId="25" fillId="15" borderId="0" xfId="3" applyFont="1" applyFill="1" applyAlignment="1">
      <alignment vertical="center"/>
    </xf>
    <xf numFmtId="0" fontId="39" fillId="15" borderId="0" xfId="3" applyFont="1" applyFill="1" applyAlignment="1">
      <alignment vertical="center"/>
    </xf>
    <xf numFmtId="0" fontId="27" fillId="15" borderId="0" xfId="3" applyFont="1" applyFill="1" applyAlignment="1">
      <alignment horizontal="left" vertical="center"/>
    </xf>
    <xf numFmtId="0" fontId="27" fillId="16" borderId="31" xfId="2" applyFont="1" applyFill="1" applyBorder="1" applyAlignment="1">
      <alignment horizontal="center"/>
    </xf>
    <xf numFmtId="0" fontId="27" fillId="16" borderId="21" xfId="2" applyFont="1" applyFill="1" applyBorder="1" applyAlignment="1">
      <alignment horizontal="center"/>
    </xf>
    <xf numFmtId="0" fontId="27" fillId="16" borderId="22" xfId="2" applyFont="1" applyFill="1" applyBorder="1" applyAlignment="1">
      <alignment horizontal="center"/>
    </xf>
    <xf numFmtId="0" fontId="27" fillId="15" borderId="0" xfId="2" applyFont="1" applyFill="1"/>
    <xf numFmtId="0" fontId="27" fillId="16" borderId="32" xfId="2" applyFont="1" applyFill="1" applyBorder="1" applyAlignment="1">
      <alignment horizontal="center"/>
    </xf>
    <xf numFmtId="0" fontId="27" fillId="16" borderId="1" xfId="2" applyFont="1" applyFill="1" applyBorder="1" applyAlignment="1">
      <alignment horizontal="center"/>
    </xf>
    <xf numFmtId="0" fontId="40" fillId="16" borderId="1" xfId="2" applyFont="1" applyFill="1" applyBorder="1" applyAlignment="1">
      <alignment horizontal="center"/>
    </xf>
    <xf numFmtId="0" fontId="27" fillId="16" borderId="4" xfId="2" applyFont="1" applyFill="1" applyBorder="1" applyAlignment="1">
      <alignment horizontal="center"/>
    </xf>
    <xf numFmtId="0" fontId="27" fillId="16" borderId="23" xfId="2" applyFont="1" applyFill="1" applyBorder="1" applyAlignment="1">
      <alignment horizontal="center"/>
    </xf>
    <xf numFmtId="0" fontId="41" fillId="17" borderId="32" xfId="2" applyFont="1" applyFill="1" applyBorder="1" applyAlignment="1">
      <alignment horizontal="center"/>
    </xf>
    <xf numFmtId="0" fontId="41" fillId="17" borderId="1" xfId="2" applyFont="1" applyFill="1" applyBorder="1" applyAlignment="1">
      <alignment horizontal="center"/>
    </xf>
    <xf numFmtId="0" fontId="41" fillId="17" borderId="4" xfId="2" applyFont="1" applyFill="1" applyBorder="1" applyAlignment="1">
      <alignment horizontal="center"/>
    </xf>
    <xf numFmtId="0" fontId="41" fillId="17" borderId="23" xfId="2" applyFont="1" applyFill="1" applyBorder="1" applyAlignment="1">
      <alignment horizontal="center"/>
    </xf>
    <xf numFmtId="0" fontId="27" fillId="15" borderId="32" xfId="2" applyFont="1" applyFill="1" applyBorder="1" applyAlignment="1">
      <alignment horizontal="center"/>
    </xf>
    <xf numFmtId="0" fontId="27" fillId="15" borderId="1" xfId="2" applyFont="1" applyFill="1" applyBorder="1" applyAlignment="1">
      <alignment horizontal="center"/>
    </xf>
    <xf numFmtId="0" fontId="27" fillId="15" borderId="23" xfId="2" applyFont="1" applyFill="1" applyBorder="1" applyAlignment="1">
      <alignment horizontal="center"/>
    </xf>
    <xf numFmtId="0" fontId="41" fillId="17" borderId="33" xfId="2" applyFont="1" applyFill="1" applyBorder="1" applyAlignment="1">
      <alignment horizontal="center"/>
    </xf>
    <xf numFmtId="0" fontId="41" fillId="17" borderId="13" xfId="2" applyFont="1" applyFill="1" applyBorder="1" applyAlignment="1">
      <alignment horizontal="center"/>
    </xf>
    <xf numFmtId="0" fontId="26" fillId="17" borderId="1" xfId="2" applyFont="1" applyFill="1" applyBorder="1" applyAlignment="1">
      <alignment horizontal="center"/>
    </xf>
    <xf numFmtId="12" fontId="26" fillId="17" borderId="3" xfId="2" applyNumberFormat="1" applyFont="1" applyFill="1" applyBorder="1" applyAlignment="1">
      <alignment horizontal="center"/>
    </xf>
    <xf numFmtId="0" fontId="27" fillId="15" borderId="30" xfId="2" applyFont="1" applyFill="1" applyBorder="1" applyAlignment="1">
      <alignment horizontal="center"/>
    </xf>
    <xf numFmtId="0" fontId="27" fillId="15" borderId="25" xfId="2" applyFont="1" applyFill="1" applyBorder="1" applyAlignment="1">
      <alignment horizontal="center"/>
    </xf>
    <xf numFmtId="0" fontId="27" fillId="15" borderId="25" xfId="2" applyFont="1" applyFill="1" applyBorder="1"/>
    <xf numFmtId="0" fontId="27" fillId="19" borderId="34" xfId="5" applyFont="1" applyFill="1" applyBorder="1"/>
    <xf numFmtId="0" fontId="27" fillId="15" borderId="0" xfId="5" applyFont="1" applyFill="1" applyBorder="1"/>
    <xf numFmtId="0" fontId="27" fillId="15" borderId="0" xfId="5" applyFont="1" applyFill="1" applyBorder="1" applyAlignment="1">
      <alignment horizontal="left"/>
    </xf>
    <xf numFmtId="0" fontId="27" fillId="15" borderId="31" xfId="5" applyFont="1" applyFill="1" applyBorder="1"/>
    <xf numFmtId="0" fontId="27" fillId="15" borderId="21" xfId="5" applyFont="1" applyFill="1" applyBorder="1"/>
    <xf numFmtId="0" fontId="27" fillId="15" borderId="22" xfId="5" applyFont="1" applyFill="1" applyBorder="1"/>
    <xf numFmtId="0" fontId="27" fillId="15" borderId="32" xfId="5" applyFont="1" applyFill="1" applyBorder="1" applyAlignment="1">
      <alignment horizontal="left"/>
    </xf>
    <xf numFmtId="0" fontId="27" fillId="17" borderId="1" xfId="5" applyFont="1" applyFill="1" applyBorder="1" applyAlignment="1">
      <alignment horizontal="center"/>
    </xf>
    <xf numFmtId="0" fontId="27" fillId="15" borderId="1" xfId="5" applyFont="1" applyFill="1" applyBorder="1"/>
    <xf numFmtId="0" fontId="27" fillId="15" borderId="23" xfId="5" applyFont="1" applyFill="1" applyBorder="1"/>
    <xf numFmtId="0" fontId="27" fillId="15" borderId="32" xfId="5" applyFont="1" applyFill="1" applyBorder="1"/>
    <xf numFmtId="0" fontId="42" fillId="15" borderId="32" xfId="5" applyFont="1" applyFill="1" applyBorder="1"/>
    <xf numFmtId="0" fontId="27" fillId="15" borderId="2" xfId="5" applyFont="1" applyFill="1" applyBorder="1"/>
    <xf numFmtId="0" fontId="27" fillId="15" borderId="4" xfId="5" applyFont="1" applyFill="1" applyBorder="1" applyAlignment="1">
      <alignment horizontal="right"/>
    </xf>
    <xf numFmtId="0" fontId="27" fillId="17" borderId="1" xfId="5" applyFont="1" applyFill="1" applyBorder="1" applyAlignment="1">
      <alignment horizontal="right"/>
    </xf>
    <xf numFmtId="0" fontId="27" fillId="21" borderId="35" xfId="5" applyFont="1" applyFill="1" applyBorder="1"/>
    <xf numFmtId="0" fontId="27" fillId="21" borderId="36" xfId="5" applyFont="1" applyFill="1" applyBorder="1"/>
    <xf numFmtId="0" fontId="27" fillId="21" borderId="37" xfId="5" applyFont="1" applyFill="1" applyBorder="1" applyAlignment="1">
      <alignment horizontal="right"/>
    </xf>
    <xf numFmtId="0" fontId="27" fillId="21" borderId="38" xfId="5" applyFont="1" applyFill="1" applyBorder="1"/>
    <xf numFmtId="0" fontId="27" fillId="21" borderId="39" xfId="5" applyFont="1" applyFill="1" applyBorder="1"/>
    <xf numFmtId="0" fontId="27" fillId="21" borderId="0" xfId="2" applyFont="1" applyFill="1"/>
    <xf numFmtId="0" fontId="43" fillId="0" borderId="0" xfId="2" applyFont="1"/>
    <xf numFmtId="0" fontId="27" fillId="21" borderId="40" xfId="5" applyFont="1" applyFill="1" applyBorder="1"/>
    <xf numFmtId="0" fontId="27" fillId="21" borderId="35" xfId="5" applyFont="1" applyFill="1" applyBorder="1" applyAlignment="1">
      <alignment horizontal="left"/>
    </xf>
    <xf numFmtId="0" fontId="27" fillId="21" borderId="36" xfId="5" applyFont="1" applyFill="1" applyBorder="1" applyAlignment="1">
      <alignment horizontal="right"/>
    </xf>
    <xf numFmtId="0" fontId="27" fillId="21" borderId="0" xfId="2" applyFont="1" applyFill="1" applyAlignment="1">
      <alignment horizontal="right"/>
    </xf>
    <xf numFmtId="172" fontId="27" fillId="21" borderId="38" xfId="5" applyNumberFormat="1" applyFont="1" applyFill="1" applyBorder="1"/>
    <xf numFmtId="12" fontId="27" fillId="21" borderId="38" xfId="5" applyNumberFormat="1" applyFont="1" applyFill="1" applyBorder="1"/>
    <xf numFmtId="0" fontId="27" fillId="21" borderId="36" xfId="2" applyFont="1" applyFill="1" applyBorder="1"/>
    <xf numFmtId="0" fontId="27" fillId="21" borderId="38" xfId="2" applyFont="1" applyFill="1" applyBorder="1"/>
    <xf numFmtId="0" fontId="27" fillId="21" borderId="38" xfId="5" applyFont="1" applyFill="1" applyBorder="1" applyAlignment="1">
      <alignment horizontal="right"/>
    </xf>
    <xf numFmtId="1" fontId="27" fillId="21" borderId="38" xfId="5" applyNumberFormat="1" applyFont="1" applyFill="1" applyBorder="1"/>
    <xf numFmtId="1" fontId="44" fillId="21" borderId="41" xfId="6" applyNumberFormat="1" applyFill="1" applyBorder="1" applyAlignment="1" applyProtection="1"/>
    <xf numFmtId="0" fontId="27" fillId="21" borderId="42" xfId="5" applyFont="1" applyFill="1" applyBorder="1"/>
    <xf numFmtId="0" fontId="27" fillId="15" borderId="1" xfId="5" applyFont="1" applyFill="1" applyBorder="1" applyAlignment="1">
      <alignment horizontal="right"/>
    </xf>
    <xf numFmtId="0" fontId="27" fillId="18" borderId="1" xfId="5" applyFont="1" applyFill="1" applyBorder="1"/>
    <xf numFmtId="0" fontId="27" fillId="15" borderId="33" xfId="5" applyFont="1" applyFill="1" applyBorder="1"/>
    <xf numFmtId="0" fontId="27" fillId="15" borderId="5" xfId="5" applyFont="1" applyFill="1" applyBorder="1"/>
    <xf numFmtId="0" fontId="27" fillId="15" borderId="13" xfId="5" applyFont="1" applyFill="1" applyBorder="1" applyAlignment="1">
      <alignment horizontal="right"/>
    </xf>
    <xf numFmtId="0" fontId="27" fillId="18" borderId="13" xfId="5" applyFont="1" applyFill="1" applyBorder="1"/>
    <xf numFmtId="0" fontId="27" fillId="18" borderId="43" xfId="5" applyFont="1" applyFill="1" applyBorder="1"/>
    <xf numFmtId="165" fontId="27" fillId="17" borderId="13" xfId="5" applyNumberFormat="1" applyFont="1" applyFill="1" applyBorder="1"/>
    <xf numFmtId="0" fontId="27" fillId="15" borderId="13" xfId="5" applyFont="1" applyFill="1" applyBorder="1"/>
    <xf numFmtId="0" fontId="27" fillId="0" borderId="43" xfId="5" applyFont="1" applyFill="1" applyBorder="1"/>
    <xf numFmtId="0" fontId="27" fillId="15" borderId="44" xfId="5" applyFont="1" applyFill="1" applyBorder="1"/>
    <xf numFmtId="0" fontId="27" fillId="15" borderId="4" xfId="2" applyFont="1" applyFill="1" applyBorder="1" applyAlignment="1">
      <alignment horizontal="right"/>
    </xf>
    <xf numFmtId="169" fontId="27" fillId="15" borderId="13" xfId="5" applyNumberFormat="1" applyFont="1" applyFill="1" applyBorder="1"/>
    <xf numFmtId="0" fontId="27" fillId="15" borderId="43" xfId="5" applyFont="1" applyFill="1" applyBorder="1"/>
    <xf numFmtId="49" fontId="27" fillId="15" borderId="13" xfId="5" applyNumberFormat="1" applyFont="1" applyFill="1" applyBorder="1"/>
    <xf numFmtId="0" fontId="27" fillId="15" borderId="44" xfId="5" applyFont="1" applyFill="1" applyBorder="1" applyAlignment="1">
      <alignment horizontal="right"/>
    </xf>
    <xf numFmtId="0" fontId="27" fillId="15" borderId="1" xfId="2" applyFont="1" applyFill="1" applyBorder="1" applyAlignment="1">
      <alignment horizontal="right"/>
    </xf>
    <xf numFmtId="0" fontId="27" fillId="15" borderId="45" xfId="2" applyFont="1" applyFill="1" applyBorder="1" applyAlignment="1">
      <alignment horizontal="left"/>
    </xf>
    <xf numFmtId="0" fontId="27" fillId="15" borderId="1" xfId="2" applyFont="1" applyFill="1" applyBorder="1"/>
    <xf numFmtId="0" fontId="27" fillId="15" borderId="23" xfId="2" applyFont="1" applyFill="1" applyBorder="1"/>
    <xf numFmtId="0" fontId="27" fillId="15" borderId="45" xfId="2" applyFont="1" applyFill="1" applyBorder="1" applyAlignment="1">
      <alignment horizontal="right"/>
    </xf>
    <xf numFmtId="0" fontId="27" fillId="15" borderId="46" xfId="2" applyFont="1" applyFill="1" applyBorder="1" applyAlignment="1">
      <alignment horizontal="left"/>
    </xf>
    <xf numFmtId="0" fontId="27" fillId="18" borderId="1" xfId="2" applyFont="1" applyFill="1" applyBorder="1"/>
    <xf numFmtId="0" fontId="27" fillId="15" borderId="14" xfId="2" applyFont="1" applyFill="1" applyBorder="1"/>
    <xf numFmtId="0" fontId="27" fillId="18" borderId="1" xfId="2" applyFont="1" applyFill="1" applyBorder="1" applyAlignment="1">
      <alignment horizontal="right"/>
    </xf>
    <xf numFmtId="0" fontId="19" fillId="18" borderId="23" xfId="2" applyFont="1" applyFill="1" applyBorder="1"/>
    <xf numFmtId="0" fontId="0" fillId="12" borderId="1" xfId="0" applyFill="1" applyBorder="1"/>
    <xf numFmtId="0" fontId="2" fillId="7" borderId="47" xfId="0" applyFont="1" applyFill="1" applyBorder="1" applyAlignment="1">
      <alignment horizontal="right"/>
    </xf>
    <xf numFmtId="0" fontId="0" fillId="24" borderId="47" xfId="0" applyFill="1" applyBorder="1"/>
    <xf numFmtId="0" fontId="0" fillId="0" borderId="48" xfId="0" applyBorder="1"/>
    <xf numFmtId="0" fontId="7" fillId="25" borderId="1" xfId="0" applyFont="1" applyFill="1" applyBorder="1" applyAlignment="1">
      <alignment horizontal="center" vertical="center"/>
    </xf>
    <xf numFmtId="0" fontId="2" fillId="7" borderId="49" xfId="0" applyFont="1" applyFill="1" applyBorder="1" applyAlignment="1">
      <alignment horizontal="right"/>
    </xf>
    <xf numFmtId="0" fontId="0" fillId="24" borderId="49" xfId="0" applyFill="1" applyBorder="1"/>
    <xf numFmtId="0" fontId="0" fillId="0" borderId="50" xfId="0" applyBorder="1"/>
    <xf numFmtId="0" fontId="0" fillId="4" borderId="1" xfId="0" applyFill="1" applyBorder="1" applyAlignment="1">
      <alignment horizontal="center" vertical="center"/>
    </xf>
    <xf numFmtId="2" fontId="0" fillId="4" borderId="1" xfId="0" applyNumberFormat="1" applyFill="1" applyBorder="1" applyAlignment="1">
      <alignment horizontal="right" indent="3"/>
    </xf>
    <xf numFmtId="0" fontId="0" fillId="0" borderId="50" xfId="0" applyBorder="1" applyAlignment="1">
      <alignment horizontal="left" vertical="top" indent="1"/>
    </xf>
    <xf numFmtId="0" fontId="7" fillId="24" borderId="1" xfId="0" applyFont="1" applyFill="1" applyBorder="1" applyAlignment="1">
      <alignment horizontal="center" vertical="center"/>
    </xf>
    <xf numFmtId="2" fontId="7" fillId="4" borderId="1" xfId="0" applyNumberFormat="1" applyFont="1" applyFill="1" applyBorder="1" applyAlignment="1">
      <alignment horizontal="right" vertical="center" indent="3"/>
    </xf>
    <xf numFmtId="0" fontId="6" fillId="24" borderId="1" xfId="0" applyFont="1" applyFill="1" applyBorder="1" applyAlignment="1">
      <alignment horizontal="center" vertical="center"/>
    </xf>
    <xf numFmtId="0" fontId="0" fillId="4" borderId="49" xfId="0" applyFill="1" applyBorder="1"/>
    <xf numFmtId="0" fontId="2" fillId="7" borderId="51" xfId="0" applyFont="1" applyFill="1" applyBorder="1" applyAlignment="1">
      <alignment horizontal="right"/>
    </xf>
    <xf numFmtId="0" fontId="0" fillId="4" borderId="51" xfId="0" applyFill="1" applyBorder="1"/>
    <xf numFmtId="0" fontId="0" fillId="0" borderId="52" xfId="0" applyBorder="1" applyAlignment="1">
      <alignment horizontal="left" vertical="top" indent="1"/>
    </xf>
    <xf numFmtId="0" fontId="6" fillId="24" borderId="15" xfId="0" applyFont="1" applyFill="1" applyBorder="1" applyAlignment="1">
      <alignment horizontal="center" vertical="center"/>
    </xf>
    <xf numFmtId="0" fontId="2" fillId="25" borderId="49" xfId="0" applyFont="1" applyFill="1" applyBorder="1" applyAlignment="1">
      <alignment horizontal="right"/>
    </xf>
    <xf numFmtId="0" fontId="2" fillId="25" borderId="30" xfId="0" applyFont="1" applyFill="1" applyBorder="1" applyAlignment="1">
      <alignment horizontal="center" vertical="center"/>
    </xf>
    <xf numFmtId="0" fontId="2" fillId="25" borderId="53" xfId="0" applyFont="1" applyFill="1" applyBorder="1" applyAlignment="1">
      <alignment horizontal="center" vertical="center"/>
    </xf>
    <xf numFmtId="0" fontId="2" fillId="25" borderId="53" xfId="0" applyFont="1" applyFill="1" applyBorder="1" applyAlignment="1">
      <alignment horizontal="center" vertical="center" wrapText="1"/>
    </xf>
    <xf numFmtId="0" fontId="2" fillId="25" borderId="19" xfId="0" applyFont="1" applyFill="1" applyBorder="1" applyAlignment="1">
      <alignment horizontal="center" vertical="center"/>
    </xf>
    <xf numFmtId="0" fontId="0" fillId="24" borderId="30" xfId="0" applyFill="1" applyBorder="1"/>
    <xf numFmtId="0" fontId="0" fillId="24" borderId="53" xfId="0" applyFill="1" applyBorder="1"/>
    <xf numFmtId="0" fontId="0" fillId="24" borderId="16" xfId="0" applyFill="1" applyBorder="1"/>
    <xf numFmtId="0" fontId="2" fillId="4" borderId="17" xfId="0" applyFont="1" applyFill="1" applyBorder="1" applyAlignment="1">
      <alignment horizontal="center" vertical="center"/>
    </xf>
    <xf numFmtId="0" fontId="7" fillId="0" borderId="0" xfId="0" applyFont="1" applyFill="1" applyBorder="1" applyAlignment="1">
      <alignment horizontal="left" vertical="center"/>
    </xf>
    <xf numFmtId="0" fontId="0" fillId="24" borderId="21" xfId="0" applyFill="1" applyBorder="1" applyAlignment="1">
      <alignment horizontal="center" vertical="center"/>
    </xf>
    <xf numFmtId="0" fontId="2" fillId="0" borderId="21" xfId="0" applyFont="1" applyFill="1" applyBorder="1"/>
    <xf numFmtId="0" fontId="2" fillId="0" borderId="22" xfId="0" applyFont="1" applyFill="1" applyBorder="1"/>
    <xf numFmtId="0" fontId="0" fillId="25" borderId="1" xfId="0" applyFill="1" applyBorder="1"/>
    <xf numFmtId="0" fontId="0" fillId="24" borderId="1" xfId="0" applyFill="1" applyBorder="1"/>
    <xf numFmtId="0" fontId="2" fillId="0" borderId="1" xfId="0" applyFont="1" applyFill="1" applyBorder="1"/>
    <xf numFmtId="0" fontId="0" fillId="24" borderId="1" xfId="0" applyFill="1" applyBorder="1" applyAlignment="1">
      <alignment horizontal="center" vertical="center"/>
    </xf>
    <xf numFmtId="0" fontId="2" fillId="0" borderId="23" xfId="0" applyFont="1" applyFill="1" applyBorder="1"/>
    <xf numFmtId="0" fontId="0" fillId="4" borderId="55" xfId="0" applyFill="1" applyBorder="1" applyAlignment="1">
      <alignment horizontal="center" vertical="center"/>
    </xf>
    <xf numFmtId="0" fontId="2" fillId="0" borderId="55" xfId="0" applyFont="1" applyFill="1" applyBorder="1"/>
    <xf numFmtId="0" fontId="0" fillId="24" borderId="55" xfId="0" applyFill="1" applyBorder="1" applyAlignment="1">
      <alignment horizontal="center" vertical="center"/>
    </xf>
    <xf numFmtId="0" fontId="2" fillId="0" borderId="56" xfId="0" applyFont="1" applyFill="1" applyBorder="1"/>
    <xf numFmtId="2" fontId="0" fillId="4" borderId="1" xfId="0" applyNumberFormat="1" applyFill="1" applyBorder="1"/>
    <xf numFmtId="0" fontId="48" fillId="0" borderId="0" xfId="7" applyFont="1" applyBorder="1" applyAlignment="1">
      <alignment vertical="center"/>
    </xf>
    <xf numFmtId="0" fontId="49" fillId="15" borderId="59" xfId="8" applyFont="1" applyFill="1" applyBorder="1" applyAlignment="1">
      <alignment horizontal="center" vertical="center"/>
    </xf>
    <xf numFmtId="0" fontId="49" fillId="15" borderId="0" xfId="8" applyFont="1" applyFill="1" applyBorder="1" applyAlignment="1">
      <alignment horizontal="center" vertical="center"/>
    </xf>
    <xf numFmtId="0" fontId="50" fillId="15" borderId="0" xfId="8" applyFont="1" applyFill="1" applyBorder="1" applyAlignment="1">
      <alignment horizontal="center"/>
    </xf>
    <xf numFmtId="0" fontId="51" fillId="15" borderId="0" xfId="8" applyFont="1" applyFill="1" applyBorder="1" applyAlignment="1"/>
    <xf numFmtId="0" fontId="26" fillId="15" borderId="60" xfId="8" applyFill="1" applyBorder="1"/>
    <xf numFmtId="0" fontId="26" fillId="15" borderId="0" xfId="8" applyFill="1"/>
    <xf numFmtId="0" fontId="26" fillId="15" borderId="0" xfId="8" applyFill="1" applyBorder="1"/>
    <xf numFmtId="165" fontId="51" fillId="15" borderId="0" xfId="3" applyNumberFormat="1" applyFont="1" applyFill="1" applyBorder="1" applyAlignment="1">
      <alignment horizontal="right" vertical="center"/>
    </xf>
    <xf numFmtId="173" fontId="53" fillId="0" borderId="29" xfId="3" applyNumberFormat="1" applyFont="1" applyFill="1" applyBorder="1" applyAlignment="1">
      <alignment horizontal="left" vertical="center"/>
    </xf>
    <xf numFmtId="0" fontId="26" fillId="0" borderId="61" xfId="8" applyFill="1" applyBorder="1"/>
    <xf numFmtId="174" fontId="53" fillId="15" borderId="0" xfId="3" applyNumberFormat="1" applyFont="1" applyFill="1" applyBorder="1" applyAlignment="1">
      <alignment vertical="center"/>
    </xf>
    <xf numFmtId="174" fontId="53" fillId="15" borderId="62" xfId="3" applyNumberFormat="1" applyFont="1" applyFill="1" applyBorder="1" applyAlignment="1">
      <alignment vertical="center"/>
    </xf>
    <xf numFmtId="175" fontId="51" fillId="15" borderId="0" xfId="3" applyNumberFormat="1" applyFont="1" applyFill="1" applyBorder="1" applyAlignment="1">
      <alignment horizontal="right" vertical="center"/>
    </xf>
    <xf numFmtId="175" fontId="53" fillId="0" borderId="30" xfId="3" applyNumberFormat="1" applyFont="1" applyFill="1" applyBorder="1" applyAlignment="1">
      <alignment horizontal="left" vertical="center"/>
    </xf>
    <xf numFmtId="0" fontId="26" fillId="0" borderId="58" xfId="8" applyFill="1" applyBorder="1"/>
    <xf numFmtId="0" fontId="50" fillId="15" borderId="62" xfId="8" applyFont="1" applyFill="1" applyBorder="1" applyAlignment="1">
      <alignment horizontal="center"/>
    </xf>
    <xf numFmtId="0" fontId="51" fillId="15" borderId="0" xfId="3" applyFont="1" applyFill="1" applyBorder="1" applyAlignment="1">
      <alignment horizontal="right" vertical="center"/>
    </xf>
    <xf numFmtId="175" fontId="53" fillId="15" borderId="0" xfId="3" applyNumberFormat="1" applyFont="1" applyFill="1" applyBorder="1" applyAlignment="1">
      <alignment horizontal="left" vertical="center"/>
    </xf>
    <xf numFmtId="0" fontId="54" fillId="15" borderId="59" xfId="3" applyFont="1" applyFill="1" applyBorder="1" applyAlignment="1">
      <alignment horizontal="left" vertical="center"/>
    </xf>
    <xf numFmtId="0" fontId="54" fillId="15" borderId="0" xfId="3" applyFont="1" applyFill="1" applyBorder="1" applyAlignment="1">
      <alignment horizontal="left" vertical="center"/>
    </xf>
    <xf numFmtId="0" fontId="53" fillId="15" borderId="0" xfId="3" applyFont="1" applyFill="1" applyBorder="1" applyAlignment="1">
      <alignment horizontal="left" vertical="center"/>
    </xf>
    <xf numFmtId="0" fontId="51" fillId="15" borderId="0" xfId="3" applyFont="1" applyFill="1" applyBorder="1" applyAlignment="1">
      <alignment horizontal="left" vertical="center"/>
    </xf>
    <xf numFmtId="0" fontId="26" fillId="15" borderId="59" xfId="8" applyFont="1" applyFill="1" applyBorder="1"/>
    <xf numFmtId="3" fontId="51" fillId="0" borderId="11" xfId="8" applyNumberFormat="1" applyFont="1" applyFill="1" applyBorder="1" applyAlignment="1">
      <alignment horizontal="left"/>
    </xf>
    <xf numFmtId="0" fontId="26" fillId="15" borderId="11" xfId="8" applyFill="1" applyBorder="1" applyAlignment="1">
      <alignment horizontal="center"/>
    </xf>
    <xf numFmtId="0" fontId="51" fillId="15" borderId="0" xfId="8" applyFont="1" applyFill="1" applyBorder="1" applyAlignment="1">
      <alignment horizontal="left"/>
    </xf>
    <xf numFmtId="0" fontId="51" fillId="15" borderId="0" xfId="8" applyFont="1" applyFill="1" applyBorder="1"/>
    <xf numFmtId="0" fontId="51" fillId="0" borderId="1" xfId="8" applyFont="1" applyFill="1" applyBorder="1" applyAlignment="1">
      <alignment horizontal="center"/>
    </xf>
    <xf numFmtId="0" fontId="55" fillId="15" borderId="8" xfId="8" applyFont="1" applyFill="1" applyBorder="1" applyAlignment="1">
      <alignment horizontal="center"/>
    </xf>
    <xf numFmtId="0" fontId="55" fillId="15" borderId="0" xfId="8" applyFont="1" applyFill="1" applyBorder="1"/>
    <xf numFmtId="0" fontId="51" fillId="0" borderId="0" xfId="8" applyFont="1" applyFill="1" applyBorder="1" applyAlignment="1">
      <alignment horizontal="center"/>
    </xf>
    <xf numFmtId="0" fontId="57" fillId="15" borderId="0" xfId="8" applyFont="1" applyFill="1" applyBorder="1" applyAlignment="1">
      <alignment horizontal="left"/>
    </xf>
    <xf numFmtId="0" fontId="58" fillId="15" borderId="59" xfId="8" applyFont="1" applyFill="1" applyBorder="1" applyAlignment="1">
      <alignment horizontal="left"/>
    </xf>
    <xf numFmtId="0" fontId="51" fillId="16" borderId="2" xfId="8" applyFont="1" applyFill="1" applyBorder="1" applyAlignment="1">
      <alignment horizontal="right"/>
    </xf>
    <xf numFmtId="0" fontId="26" fillId="15" borderId="4" xfId="8" applyFill="1" applyBorder="1"/>
    <xf numFmtId="0" fontId="51" fillId="0" borderId="2" xfId="8" applyFont="1" applyFill="1" applyBorder="1"/>
    <xf numFmtId="0" fontId="59" fillId="0" borderId="11" xfId="8" applyFont="1" applyFill="1" applyBorder="1" applyAlignment="1"/>
    <xf numFmtId="0" fontId="51" fillId="0" borderId="11" xfId="8" applyFont="1" applyFill="1" applyBorder="1"/>
    <xf numFmtId="3" fontId="55" fillId="0" borderId="11" xfId="8" applyNumberFormat="1" applyFont="1" applyFill="1" applyBorder="1"/>
    <xf numFmtId="0" fontId="26" fillId="15" borderId="11" xfId="8" applyFill="1" applyBorder="1"/>
    <xf numFmtId="0" fontId="51" fillId="16" borderId="11" xfId="8" applyFont="1" applyFill="1" applyBorder="1"/>
    <xf numFmtId="0" fontId="26" fillId="15" borderId="59" xfId="8" applyFill="1" applyBorder="1"/>
    <xf numFmtId="0" fontId="59" fillId="15" borderId="63" xfId="8" applyFont="1" applyFill="1" applyBorder="1" applyAlignment="1">
      <alignment horizontal="center"/>
    </xf>
    <xf numFmtId="0" fontId="26" fillId="15" borderId="59" xfId="8" applyFont="1" applyFill="1" applyBorder="1" applyAlignment="1">
      <alignment horizontal="center"/>
    </xf>
    <xf numFmtId="0" fontId="51" fillId="15" borderId="0" xfId="8" applyFont="1" applyFill="1" applyBorder="1" applyAlignment="1">
      <alignment horizontal="center"/>
    </xf>
    <xf numFmtId="0" fontId="51" fillId="15" borderId="0" xfId="8" quotePrefix="1" applyFont="1" applyFill="1" applyBorder="1" applyAlignment="1">
      <alignment horizontal="center"/>
    </xf>
    <xf numFmtId="0" fontId="26" fillId="15" borderId="0" xfId="8" quotePrefix="1" applyFill="1" applyBorder="1"/>
    <xf numFmtId="0" fontId="61" fillId="15" borderId="0" xfId="8" applyFont="1" applyFill="1" applyBorder="1"/>
    <xf numFmtId="0" fontId="62" fillId="15" borderId="1" xfId="8" applyFont="1" applyFill="1" applyBorder="1" applyAlignment="1">
      <alignment horizontal="center" vertical="center" wrapText="1"/>
    </xf>
    <xf numFmtId="0" fontId="63" fillId="15" borderId="63" xfId="8" applyFont="1" applyFill="1" applyBorder="1" applyAlignment="1">
      <alignment horizontal="center"/>
    </xf>
    <xf numFmtId="0" fontId="26" fillId="15" borderId="59" xfId="8" applyFill="1" applyBorder="1" applyAlignment="1">
      <alignment horizontal="center"/>
    </xf>
    <xf numFmtId="0" fontId="62" fillId="15" borderId="1" xfId="8" applyFont="1" applyFill="1" applyBorder="1" applyAlignment="1">
      <alignment horizontal="center" vertical="center"/>
    </xf>
    <xf numFmtId="0" fontId="63" fillId="15" borderId="1" xfId="8" applyFont="1" applyFill="1" applyBorder="1" applyAlignment="1">
      <alignment horizontal="center" vertical="center"/>
    </xf>
    <xf numFmtId="0" fontId="63" fillId="0" borderId="63" xfId="8" applyFont="1" applyFill="1" applyBorder="1" applyAlignment="1">
      <alignment horizontal="center"/>
    </xf>
    <xf numFmtId="0" fontId="63" fillId="0" borderId="1" xfId="8" applyFont="1" applyFill="1" applyBorder="1" applyAlignment="1">
      <alignment horizontal="center" vertical="center"/>
    </xf>
    <xf numFmtId="0" fontId="62" fillId="16" borderId="1" xfId="8" applyFont="1" applyFill="1" applyBorder="1" applyAlignment="1">
      <alignment horizontal="center" vertical="center"/>
    </xf>
    <xf numFmtId="0" fontId="63" fillId="16" borderId="63" xfId="8" applyFont="1" applyFill="1" applyBorder="1" applyAlignment="1">
      <alignment horizontal="center"/>
    </xf>
    <xf numFmtId="0" fontId="26" fillId="15" borderId="0" xfId="8" applyFill="1" applyBorder="1" applyAlignment="1">
      <alignment horizontal="center"/>
    </xf>
    <xf numFmtId="1" fontId="55" fillId="15" borderId="1" xfId="8" applyNumberFormat="1" applyFont="1" applyFill="1" applyBorder="1" applyAlignment="1">
      <alignment horizontal="center"/>
    </xf>
    <xf numFmtId="0" fontId="64" fillId="15" borderId="0" xfId="8" applyFont="1" applyFill="1" applyBorder="1"/>
    <xf numFmtId="0" fontId="66" fillId="15" borderId="0" xfId="9" applyFont="1" applyFill="1" applyBorder="1" applyAlignment="1" applyProtection="1"/>
    <xf numFmtId="0" fontId="67" fillId="15" borderId="59" xfId="8" applyFont="1" applyFill="1" applyBorder="1"/>
    <xf numFmtId="0" fontId="68" fillId="15" borderId="59" xfId="8" applyFont="1" applyFill="1" applyBorder="1"/>
    <xf numFmtId="2" fontId="55" fillId="15" borderId="0" xfId="8" applyNumberFormat="1" applyFont="1" applyFill="1" applyBorder="1" applyAlignment="1">
      <alignment horizontal="center"/>
    </xf>
    <xf numFmtId="0" fontId="67" fillId="15" borderId="0" xfId="8" applyFont="1" applyFill="1" applyBorder="1"/>
    <xf numFmtId="0" fontId="55" fillId="15" borderId="1" xfId="8" applyFont="1" applyFill="1" applyBorder="1"/>
    <xf numFmtId="0" fontId="51" fillId="15" borderId="59" xfId="8" applyFont="1" applyFill="1" applyBorder="1"/>
    <xf numFmtId="49" fontId="51" fillId="16" borderId="11" xfId="8" applyNumberFormat="1" applyFont="1" applyFill="1" applyBorder="1" applyAlignment="1"/>
    <xf numFmtId="0" fontId="62" fillId="0" borderId="1" xfId="8" applyFont="1" applyFill="1" applyBorder="1" applyAlignment="1">
      <alignment horizontal="center" vertical="center"/>
    </xf>
    <xf numFmtId="0" fontId="69" fillId="15" borderId="0" xfId="8" applyFont="1" applyFill="1" applyBorder="1" applyAlignment="1">
      <alignment horizontal="center" vertical="center"/>
    </xf>
    <xf numFmtId="0" fontId="26" fillId="15" borderId="65" xfId="8" applyFill="1" applyBorder="1"/>
    <xf numFmtId="0" fontId="26" fillId="15" borderId="6" xfId="8" applyFill="1" applyBorder="1"/>
    <xf numFmtId="0" fontId="26" fillId="15" borderId="66" xfId="8" applyFill="1" applyBorder="1"/>
    <xf numFmtId="0" fontId="64" fillId="15" borderId="59" xfId="8" applyFont="1" applyFill="1" applyBorder="1"/>
    <xf numFmtId="169" fontId="26" fillId="15" borderId="11" xfId="8" applyNumberFormat="1" applyFont="1" applyFill="1" applyBorder="1" applyAlignment="1"/>
    <xf numFmtId="49" fontId="26" fillId="15" borderId="11" xfId="8" quotePrefix="1" applyNumberFormat="1" applyFill="1" applyBorder="1" applyAlignment="1"/>
    <xf numFmtId="15" fontId="26" fillId="15" borderId="0" xfId="8" applyNumberFormat="1" applyFill="1" applyBorder="1"/>
    <xf numFmtId="0" fontId="26" fillId="15" borderId="0" xfId="8" applyFont="1" applyFill="1" applyBorder="1"/>
    <xf numFmtId="0" fontId="26" fillId="16" borderId="11" xfId="8" applyFill="1" applyBorder="1"/>
    <xf numFmtId="0" fontId="26" fillId="15" borderId="67" xfId="8" applyFill="1" applyBorder="1"/>
    <xf numFmtId="0" fontId="26" fillId="15" borderId="68" xfId="8" applyFill="1" applyBorder="1"/>
    <xf numFmtId="0" fontId="26" fillId="15" borderId="69" xfId="8" applyFill="1" applyBorder="1"/>
    <xf numFmtId="0" fontId="26" fillId="15" borderId="70" xfId="8" applyFill="1" applyBorder="1"/>
    <xf numFmtId="0" fontId="26" fillId="15" borderId="71" xfId="8" applyFill="1" applyBorder="1"/>
    <xf numFmtId="0" fontId="72" fillId="0" borderId="0" xfId="0" applyFont="1"/>
    <xf numFmtId="0" fontId="0" fillId="25" borderId="53" xfId="0" applyFill="1" applyBorder="1" applyAlignment="1">
      <alignment vertical="center"/>
    </xf>
    <xf numFmtId="0" fontId="0" fillId="24" borderId="53" xfId="0" applyFill="1" applyBorder="1" applyAlignment="1">
      <alignment horizontal="center" vertical="center"/>
    </xf>
    <xf numFmtId="2" fontId="0" fillId="24" borderId="53" xfId="0" applyNumberFormat="1" applyFill="1" applyBorder="1" applyAlignment="1">
      <alignment horizontal="center" vertical="center"/>
    </xf>
    <xf numFmtId="0" fontId="2" fillId="4" borderId="53" xfId="0" applyFont="1" applyFill="1" applyBorder="1" applyAlignment="1">
      <alignment horizontal="center" vertical="center"/>
    </xf>
    <xf numFmtId="0" fontId="73" fillId="0" borderId="0" xfId="0" applyFont="1"/>
    <xf numFmtId="0" fontId="74" fillId="25" borderId="53" xfId="0" applyFont="1" applyFill="1" applyBorder="1" applyAlignment="1">
      <alignment horizontal="center" vertical="center" wrapText="1"/>
    </xf>
    <xf numFmtId="2" fontId="0" fillId="4" borderId="53" xfId="0" applyNumberFormat="1" applyFill="1" applyBorder="1" applyAlignment="1">
      <alignment horizontal="center" vertical="center"/>
    </xf>
    <xf numFmtId="0" fontId="2" fillId="4" borderId="29" xfId="0" applyFont="1" applyFill="1" applyBorder="1" applyAlignment="1">
      <alignment horizontal="center" vertical="center"/>
    </xf>
    <xf numFmtId="0" fontId="0" fillId="4" borderId="53" xfId="0" applyFill="1" applyBorder="1" applyAlignment="1">
      <alignment horizontal="center" vertical="center"/>
    </xf>
    <xf numFmtId="0" fontId="2" fillId="4" borderId="0" xfId="0" applyFont="1" applyFill="1" applyAlignment="1">
      <alignment horizontal="center" vertical="center"/>
    </xf>
    <xf numFmtId="0" fontId="0" fillId="24" borderId="0" xfId="0" applyFill="1"/>
    <xf numFmtId="0" fontId="0" fillId="0" borderId="0" xfId="0" quotePrefix="1"/>
    <xf numFmtId="0" fontId="2" fillId="25" borderId="57" xfId="0" applyFont="1" applyFill="1" applyBorder="1" applyAlignment="1">
      <alignment horizontal="center" vertical="center"/>
    </xf>
    <xf numFmtId="0" fontId="2" fillId="25" borderId="17" xfId="0" applyFont="1" applyFill="1" applyBorder="1" applyAlignment="1">
      <alignment horizontal="center" vertical="center"/>
    </xf>
    <xf numFmtId="0" fontId="0" fillId="24" borderId="57" xfId="0" applyFill="1" applyBorder="1"/>
    <xf numFmtId="0" fontId="0" fillId="0" borderId="75" xfId="0" applyBorder="1"/>
    <xf numFmtId="0" fontId="0" fillId="25" borderId="1" xfId="0" applyFill="1" applyBorder="1" applyAlignment="1">
      <alignment horizontal="center" vertical="center"/>
    </xf>
    <xf numFmtId="0" fontId="1" fillId="24" borderId="1" xfId="10" applyFont="1" applyFill="1" applyBorder="1"/>
    <xf numFmtId="0" fontId="0" fillId="4" borderId="1" xfId="0" applyFill="1" applyBorder="1"/>
    <xf numFmtId="0" fontId="1" fillId="4" borderId="1" xfId="10" applyFont="1" applyFill="1" applyBorder="1"/>
    <xf numFmtId="0" fontId="0" fillId="0" borderId="0" xfId="0" applyFill="1" applyAlignment="1">
      <alignment horizontal="left" vertical="top" wrapText="1"/>
    </xf>
    <xf numFmtId="0" fontId="2" fillId="0" borderId="0" xfId="0" applyFont="1" applyFill="1" applyAlignment="1">
      <alignment horizontal="left" vertical="top" wrapText="1"/>
    </xf>
    <xf numFmtId="0" fontId="0" fillId="4" borderId="53" xfId="0" applyFill="1" applyBorder="1"/>
    <xf numFmtId="0" fontId="26" fillId="0" borderId="0" xfId="12"/>
    <xf numFmtId="0" fontId="79" fillId="0" borderId="0" xfId="12" applyFont="1"/>
    <xf numFmtId="0" fontId="51" fillId="0" borderId="24" xfId="12" applyFont="1" applyBorder="1"/>
    <xf numFmtId="14" fontId="26" fillId="27" borderId="26" xfId="12" applyNumberFormat="1" applyFill="1" applyBorder="1" applyAlignment="1" applyProtection="1">
      <alignment horizontal="center"/>
      <protection locked="0"/>
    </xf>
    <xf numFmtId="0" fontId="26" fillId="27" borderId="26" xfId="12" applyFill="1" applyBorder="1" applyAlignment="1" applyProtection="1">
      <alignment horizontal="center"/>
      <protection locked="0"/>
    </xf>
    <xf numFmtId="0" fontId="26" fillId="27" borderId="77" xfId="12" applyFill="1" applyBorder="1" applyAlignment="1" applyProtection="1">
      <alignment horizontal="center"/>
      <protection locked="0"/>
    </xf>
    <xf numFmtId="0" fontId="51" fillId="0" borderId="57" xfId="12" applyFont="1" applyBorder="1"/>
    <xf numFmtId="0" fontId="26" fillId="0" borderId="79" xfId="12" applyBorder="1" applyAlignment="1">
      <alignment horizontal="center"/>
    </xf>
    <xf numFmtId="0" fontId="26" fillId="0" borderId="79" xfId="12" applyBorder="1"/>
    <xf numFmtId="0" fontId="26" fillId="0" borderId="80" xfId="12" applyBorder="1" applyAlignment="1">
      <alignment horizontal="center"/>
    </xf>
    <xf numFmtId="0" fontId="26" fillId="0" borderId="30" xfId="12" applyBorder="1" applyAlignment="1">
      <alignment horizontal="center"/>
    </xf>
    <xf numFmtId="0" fontId="26" fillId="0" borderId="17" xfId="12" applyBorder="1"/>
    <xf numFmtId="0" fontId="26" fillId="0" borderId="0" xfId="12" quotePrefix="1"/>
    <xf numFmtId="0" fontId="26" fillId="0" borderId="28" xfId="12" applyBorder="1"/>
    <xf numFmtId="0" fontId="26" fillId="0" borderId="0" xfId="12" applyAlignment="1">
      <alignment horizontal="center"/>
    </xf>
    <xf numFmtId="0" fontId="26" fillId="0" borderId="11" xfId="12" applyBorder="1"/>
    <xf numFmtId="0" fontId="51" fillId="0" borderId="0" xfId="12" applyFont="1"/>
    <xf numFmtId="0" fontId="51" fillId="0" borderId="45" xfId="12" applyFont="1" applyBorder="1"/>
    <xf numFmtId="0" fontId="26" fillId="0" borderId="3" xfId="12" applyBorder="1" applyAlignment="1">
      <alignment horizontal="center"/>
    </xf>
    <xf numFmtId="0" fontId="26" fillId="0" borderId="3" xfId="12" applyBorder="1"/>
    <xf numFmtId="0" fontId="51" fillId="0" borderId="3" xfId="12" applyFont="1" applyBorder="1" applyAlignment="1">
      <alignment horizontal="right"/>
    </xf>
    <xf numFmtId="0" fontId="26" fillId="27" borderId="1" xfId="12" applyFill="1" applyBorder="1" applyAlignment="1" applyProtection="1">
      <alignment horizontal="center"/>
      <protection locked="0"/>
    </xf>
    <xf numFmtId="0" fontId="51" fillId="0" borderId="0" xfId="12" applyFont="1" applyAlignment="1">
      <alignment horizontal="left"/>
    </xf>
    <xf numFmtId="0" fontId="26" fillId="0" borderId="18" xfId="12" applyBorder="1"/>
    <xf numFmtId="0" fontId="26" fillId="0" borderId="6" xfId="12" applyBorder="1"/>
    <xf numFmtId="0" fontId="51" fillId="0" borderId="81" xfId="12" applyFont="1" applyBorder="1" applyAlignment="1">
      <alignment horizontal="right"/>
    </xf>
    <xf numFmtId="0" fontId="26" fillId="0" borderId="77" xfId="12" applyBorder="1" applyAlignment="1">
      <alignment horizontal="center"/>
    </xf>
    <xf numFmtId="0" fontId="26" fillId="0" borderId="26" xfId="12" applyBorder="1" applyAlignment="1">
      <alignment horizontal="center"/>
    </xf>
    <xf numFmtId="0" fontId="26" fillId="0" borderId="80" xfId="12" applyBorder="1"/>
    <xf numFmtId="0" fontId="26" fillId="0" borderId="30" xfId="12" applyBorder="1"/>
    <xf numFmtId="0" fontId="26" fillId="0" borderId="30" xfId="12" applyBorder="1" applyAlignment="1">
      <alignment horizontal="right"/>
    </xf>
    <xf numFmtId="0" fontId="26" fillId="0" borderId="30" xfId="12" applyBorder="1" applyAlignment="1">
      <alignment horizontal="left"/>
    </xf>
    <xf numFmtId="0" fontId="51" fillId="0" borderId="82" xfId="12" applyFont="1" applyBorder="1"/>
    <xf numFmtId="0" fontId="26" fillId="0" borderId="83" xfId="12" applyBorder="1"/>
    <xf numFmtId="0" fontId="26" fillId="0" borderId="19" xfId="12" applyBorder="1"/>
    <xf numFmtId="0" fontId="51" fillId="0" borderId="0" xfId="12" applyFont="1" applyAlignment="1">
      <alignment horizontal="center"/>
    </xf>
    <xf numFmtId="0" fontId="26" fillId="0" borderId="57" xfId="12" applyBorder="1"/>
    <xf numFmtId="0" fontId="51" fillId="0" borderId="17" xfId="12" applyFont="1" applyBorder="1" applyAlignment="1">
      <alignment horizontal="left"/>
    </xf>
    <xf numFmtId="0" fontId="26" fillId="0" borderId="53" xfId="12" applyBorder="1" applyAlignment="1">
      <alignment horizontal="center"/>
    </xf>
    <xf numFmtId="0" fontId="51" fillId="0" borderId="17" xfId="12" applyFont="1" applyBorder="1"/>
    <xf numFmtId="0" fontId="26" fillId="0" borderId="11" xfId="12" applyBorder="1" applyAlignment="1">
      <alignment horizontal="center"/>
    </xf>
    <xf numFmtId="0" fontId="26" fillId="0" borderId="84" xfId="12" applyBorder="1"/>
    <xf numFmtId="0" fontId="51" fillId="0" borderId="11" xfId="12" applyFont="1" applyBorder="1" applyAlignment="1">
      <alignment horizontal="center"/>
    </xf>
    <xf numFmtId="0" fontId="26" fillId="0" borderId="0" xfId="12" applyAlignment="1">
      <alignment horizontal="right"/>
    </xf>
    <xf numFmtId="176" fontId="26" fillId="0" borderId="0" xfId="12" applyNumberFormat="1" applyProtection="1">
      <protection locked="0" hidden="1"/>
    </xf>
    <xf numFmtId="0" fontId="80" fillId="0" borderId="0" xfId="12" applyFont="1"/>
    <xf numFmtId="0" fontId="26" fillId="27" borderId="79" xfId="12" applyFill="1" applyBorder="1" applyAlignment="1" applyProtection="1">
      <alignment horizontal="center"/>
      <protection locked="0"/>
    </xf>
    <xf numFmtId="0" fontId="26" fillId="27" borderId="30" xfId="12" applyFill="1" applyBorder="1" applyAlignment="1" applyProtection="1">
      <alignment horizontal="center"/>
      <protection locked="0"/>
    </xf>
    <xf numFmtId="0" fontId="26" fillId="27" borderId="80" xfId="12" applyFill="1" applyBorder="1" applyAlignment="1" applyProtection="1">
      <alignment horizontal="center"/>
      <protection locked="0"/>
    </xf>
    <xf numFmtId="0" fontId="26" fillId="0" borderId="24" xfId="12" applyBorder="1"/>
    <xf numFmtId="0" fontId="26" fillId="0" borderId="25" xfId="12" applyBorder="1" applyAlignment="1">
      <alignment horizontal="center"/>
    </xf>
    <xf numFmtId="0" fontId="26" fillId="0" borderId="25" xfId="12" applyBorder="1"/>
    <xf numFmtId="0" fontId="26" fillId="0" borderId="48" xfId="12" applyBorder="1" applyAlignment="1">
      <alignment horizontal="center"/>
    </xf>
    <xf numFmtId="0" fontId="51" fillId="0" borderId="85" xfId="12" applyFont="1" applyBorder="1" applyAlignment="1">
      <alignment horizontal="left"/>
    </xf>
    <xf numFmtId="0" fontId="26" fillId="0" borderId="81" xfId="12" applyBorder="1" applyAlignment="1">
      <alignment horizontal="center"/>
    </xf>
    <xf numFmtId="0" fontId="26" fillId="0" borderId="81" xfId="12" applyBorder="1"/>
    <xf numFmtId="0" fontId="51" fillId="0" borderId="81" xfId="12" applyFont="1" applyBorder="1" applyAlignment="1">
      <alignment horizontal="left"/>
    </xf>
    <xf numFmtId="0" fontId="26" fillId="28" borderId="55" xfId="12" applyFill="1" applyBorder="1" applyAlignment="1" applyProtection="1">
      <alignment horizontal="center"/>
      <protection locked="0"/>
    </xf>
    <xf numFmtId="0" fontId="26" fillId="27" borderId="78" xfId="12" applyFill="1" applyBorder="1" applyAlignment="1" applyProtection="1">
      <alignment horizontal="center"/>
      <protection locked="0"/>
    </xf>
    <xf numFmtId="0" fontId="26" fillId="0" borderId="29" xfId="12" applyBorder="1" applyAlignment="1">
      <alignment horizontal="center"/>
    </xf>
    <xf numFmtId="0" fontId="26" fillId="27" borderId="29" xfId="12" applyFill="1" applyBorder="1" applyAlignment="1" applyProtection="1">
      <alignment horizontal="center"/>
      <protection locked="0"/>
    </xf>
    <xf numFmtId="0" fontId="26" fillId="0" borderId="29" xfId="12" applyBorder="1"/>
    <xf numFmtId="0" fontId="26" fillId="0" borderId="86" xfId="12" applyBorder="1" applyAlignment="1">
      <alignment horizontal="right"/>
    </xf>
    <xf numFmtId="0" fontId="26" fillId="27" borderId="19" xfId="12" applyFill="1" applyBorder="1" applyAlignment="1" applyProtection="1">
      <alignment horizontal="center"/>
      <protection locked="0"/>
    </xf>
    <xf numFmtId="0" fontId="26" fillId="27" borderId="86" xfId="12" applyFill="1" applyBorder="1" applyAlignment="1" applyProtection="1">
      <alignment horizontal="center"/>
      <protection locked="0"/>
    </xf>
    <xf numFmtId="0" fontId="26" fillId="27" borderId="82" xfId="12" applyFill="1" applyBorder="1" applyAlignment="1" applyProtection="1">
      <alignment horizontal="center"/>
      <protection locked="0"/>
    </xf>
    <xf numFmtId="0" fontId="83" fillId="29" borderId="87" xfId="0" applyFont="1" applyFill="1" applyBorder="1" applyAlignment="1">
      <alignment horizontal="center"/>
    </xf>
    <xf numFmtId="0" fontId="83" fillId="29" borderId="88" xfId="0" applyFont="1" applyFill="1" applyBorder="1" applyAlignment="1">
      <alignment horizontal="center"/>
    </xf>
    <xf numFmtId="0" fontId="54" fillId="0" borderId="89" xfId="0" applyFont="1" applyBorder="1" applyAlignment="1">
      <alignment horizontal="center"/>
    </xf>
    <xf numFmtId="0" fontId="54" fillId="0" borderId="90" xfId="0" applyFont="1" applyBorder="1" applyAlignment="1">
      <alignment horizontal="center"/>
    </xf>
    <xf numFmtId="0" fontId="54" fillId="0" borderId="91" xfId="0" applyFont="1" applyBorder="1" applyAlignment="1">
      <alignment horizontal="center"/>
    </xf>
    <xf numFmtId="0" fontId="54" fillId="0" borderId="92" xfId="0" applyFont="1" applyBorder="1" applyAlignment="1">
      <alignment horizontal="center"/>
    </xf>
    <xf numFmtId="0" fontId="26" fillId="0" borderId="29" xfId="12" applyBorder="1" applyAlignment="1">
      <alignment horizontal="right"/>
    </xf>
    <xf numFmtId="0" fontId="54" fillId="4" borderId="89" xfId="0" applyFont="1" applyFill="1" applyBorder="1" applyAlignment="1">
      <alignment horizontal="center"/>
    </xf>
    <xf numFmtId="0" fontId="54" fillId="4" borderId="90" xfId="0" applyFont="1" applyFill="1" applyBorder="1" applyAlignment="1">
      <alignment horizontal="center"/>
    </xf>
    <xf numFmtId="0" fontId="82" fillId="0" borderId="0" xfId="12" applyFont="1" applyBorder="1"/>
    <xf numFmtId="0" fontId="26" fillId="0" borderId="0" xfId="12" applyBorder="1"/>
    <xf numFmtId="0" fontId="26" fillId="0" borderId="93" xfId="12" applyBorder="1"/>
    <xf numFmtId="0" fontId="82" fillId="0" borderId="28" xfId="12" applyFont="1" applyBorder="1"/>
    <xf numFmtId="0" fontId="51" fillId="0" borderId="0" xfId="12" applyFont="1" applyBorder="1"/>
    <xf numFmtId="0" fontId="51" fillId="0" borderId="25" xfId="12" applyFont="1" applyBorder="1"/>
    <xf numFmtId="0" fontId="51" fillId="0" borderId="0" xfId="12" applyFont="1" applyBorder="1" applyAlignment="1">
      <alignment horizontal="left"/>
    </xf>
    <xf numFmtId="0" fontId="51" fillId="0" borderId="8" xfId="12" applyFont="1" applyBorder="1" applyAlignment="1">
      <alignment horizontal="left"/>
    </xf>
    <xf numFmtId="0" fontId="82" fillId="0" borderId="24" xfId="12" applyFont="1" applyBorder="1"/>
    <xf numFmtId="0" fontId="51" fillId="0" borderId="0" xfId="12" applyFont="1" applyBorder="1" applyAlignment="1">
      <alignment horizontal="center"/>
    </xf>
    <xf numFmtId="0" fontId="26" fillId="0" borderId="18" xfId="12" applyBorder="1" applyAlignment="1">
      <alignment horizontal="right"/>
    </xf>
    <xf numFmtId="0" fontId="26" fillId="0" borderId="82" xfId="12" applyBorder="1"/>
    <xf numFmtId="0" fontId="51" fillId="0" borderId="82" xfId="12" applyFont="1" applyBorder="1" applyAlignment="1">
      <alignment horizontal="center"/>
    </xf>
    <xf numFmtId="0" fontId="26" fillId="0" borderId="0" xfId="12" applyFont="1" applyAlignment="1">
      <alignment horizontal="center"/>
    </xf>
    <xf numFmtId="0" fontId="26" fillId="0" borderId="0" xfId="12" applyFont="1" applyAlignment="1">
      <alignment horizontal="left"/>
    </xf>
    <xf numFmtId="0" fontId="26" fillId="3" borderId="17" xfId="12" applyFill="1" applyBorder="1" applyAlignment="1" applyProtection="1">
      <alignment horizontal="center"/>
      <protection locked="0"/>
    </xf>
    <xf numFmtId="10" fontId="12" fillId="0" borderId="2" xfId="0" applyNumberFormat="1" applyFont="1" applyBorder="1" applyAlignment="1">
      <alignment horizontal="center" vertical="center"/>
    </xf>
    <xf numFmtId="0" fontId="10" fillId="3" borderId="16" xfId="0" applyFont="1" applyFill="1" applyBorder="1" applyAlignment="1">
      <alignment horizontal="center" vertical="center"/>
    </xf>
    <xf numFmtId="0" fontId="10" fillId="3" borderId="19" xfId="0" applyFont="1" applyFill="1" applyBorder="1" applyAlignment="1">
      <alignment vertical="center"/>
    </xf>
    <xf numFmtId="0" fontId="10" fillId="3" borderId="19" xfId="0" applyFont="1" applyFill="1" applyBorder="1" applyAlignment="1">
      <alignment horizontal="center" vertical="center"/>
    </xf>
    <xf numFmtId="9" fontId="10" fillId="3" borderId="19" xfId="0" applyNumberFormat="1" applyFont="1" applyFill="1" applyBorder="1" applyAlignment="1">
      <alignment horizontal="center" vertical="center"/>
    </xf>
    <xf numFmtId="0" fontId="0" fillId="3" borderId="19" xfId="0" applyFill="1" applyBorder="1" applyAlignment="1">
      <alignment vertical="center"/>
    </xf>
    <xf numFmtId="0" fontId="10" fillId="3" borderId="16" xfId="0" applyFont="1" applyFill="1" applyBorder="1" applyAlignment="1">
      <alignment horizontal="center" vertical="center" wrapText="1"/>
    </xf>
    <xf numFmtId="0" fontId="10" fillId="3" borderId="19" xfId="0" applyFont="1" applyFill="1" applyBorder="1" applyAlignment="1">
      <alignment vertical="center" wrapText="1"/>
    </xf>
    <xf numFmtId="0" fontId="10" fillId="3" borderId="19"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12" fillId="3" borderId="6" xfId="0" applyFont="1" applyFill="1" applyBorder="1" applyAlignment="1">
      <alignment horizontal="center" vertical="center"/>
    </xf>
    <xf numFmtId="0" fontId="12" fillId="3" borderId="6" xfId="0" applyFont="1" applyFill="1" applyBorder="1" applyAlignment="1">
      <alignment vertical="center"/>
    </xf>
    <xf numFmtId="0" fontId="0" fillId="3" borderId="6"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12" fillId="0" borderId="15" xfId="0" applyFont="1" applyFill="1" applyBorder="1" applyAlignment="1">
      <alignment horizontal="center" vertical="center"/>
    </xf>
    <xf numFmtId="0" fontId="12" fillId="0" borderId="9" xfId="0" applyFont="1" applyFill="1" applyBorder="1" applyAlignment="1">
      <alignment vertical="center"/>
    </xf>
    <xf numFmtId="165" fontId="2" fillId="3" borderId="11" xfId="0" applyNumberFormat="1" applyFont="1" applyFill="1" applyBorder="1"/>
    <xf numFmtId="165" fontId="0" fillId="0" borderId="1" xfId="0" applyNumberFormat="1" applyFill="1" applyBorder="1" applyAlignment="1">
      <alignment horizontal="center"/>
    </xf>
    <xf numFmtId="0" fontId="84" fillId="0" borderId="0" xfId="13" applyFont="1"/>
    <xf numFmtId="0" fontId="85" fillId="0" borderId="0" xfId="13" applyFont="1" applyAlignment="1">
      <alignment horizontal="center" vertical="center"/>
    </xf>
    <xf numFmtId="0" fontId="85" fillId="0" borderId="0" xfId="13" applyFont="1" applyBorder="1" applyAlignment="1">
      <alignment horizontal="center" vertical="center"/>
    </xf>
    <xf numFmtId="0" fontId="87" fillId="0" borderId="0" xfId="13" applyFont="1" applyBorder="1" applyAlignment="1">
      <alignment horizontal="centerContinuous" vertical="center"/>
    </xf>
    <xf numFmtId="0" fontId="87" fillId="0" borderId="0" xfId="13" applyFont="1" applyAlignment="1">
      <alignment horizontal="centerContinuous" vertical="center"/>
    </xf>
    <xf numFmtId="0" fontId="84" fillId="0" borderId="0" xfId="13" applyFont="1" applyAlignment="1"/>
    <xf numFmtId="0" fontId="84" fillId="0" borderId="24" xfId="13" applyFont="1" applyBorder="1"/>
    <xf numFmtId="0" fontId="51" fillId="0" borderId="94" xfId="13" applyFont="1" applyBorder="1" applyAlignment="1">
      <alignment horizontal="center"/>
    </xf>
    <xf numFmtId="0" fontId="51" fillId="0" borderId="77" xfId="13" applyFont="1" applyBorder="1" applyAlignment="1">
      <alignment horizontal="left" indent="2"/>
    </xf>
    <xf numFmtId="0" fontId="51" fillId="0" borderId="25" xfId="13" applyFont="1" applyBorder="1"/>
    <xf numFmtId="0" fontId="26" fillId="0" borderId="78" xfId="13" applyFont="1" applyBorder="1"/>
    <xf numFmtId="0" fontId="26" fillId="0" borderId="26" xfId="13" applyFont="1" applyBorder="1"/>
    <xf numFmtId="0" fontId="60" fillId="0" borderId="0" xfId="13" applyFont="1" applyBorder="1"/>
    <xf numFmtId="0" fontId="51" fillId="0" borderId="0" xfId="13" applyFont="1" applyBorder="1"/>
    <xf numFmtId="2" fontId="51" fillId="0" borderId="28" xfId="13" applyNumberFormat="1" applyFont="1" applyBorder="1" applyAlignment="1">
      <alignment horizontal="left" indent="3"/>
    </xf>
    <xf numFmtId="0" fontId="51" fillId="0" borderId="8" xfId="13" applyFont="1" applyBorder="1" applyAlignment="1">
      <alignment vertical="center"/>
    </xf>
    <xf numFmtId="0" fontId="26" fillId="0" borderId="9" xfId="13" applyFont="1" applyBorder="1"/>
    <xf numFmtId="0" fontId="51" fillId="0" borderId="8" xfId="13" applyFont="1" applyBorder="1" applyAlignment="1">
      <alignment horizontal="left" indent="2"/>
    </xf>
    <xf numFmtId="0" fontId="26" fillId="0" borderId="18" xfId="13" applyFont="1" applyBorder="1"/>
    <xf numFmtId="0" fontId="84" fillId="0" borderId="28" xfId="13" applyFont="1" applyBorder="1" applyAlignment="1">
      <alignment vertical="center"/>
    </xf>
    <xf numFmtId="0" fontId="51" fillId="0" borderId="10" xfId="13" applyFont="1" applyBorder="1" applyAlignment="1">
      <alignment horizontal="left" vertical="center" indent="2"/>
    </xf>
    <xf numFmtId="0" fontId="51" fillId="0" borderId="11" xfId="13" applyFont="1" applyBorder="1" applyAlignment="1">
      <alignment vertical="center"/>
    </xf>
    <xf numFmtId="0" fontId="26" fillId="0" borderId="95" xfId="13" applyFont="1" applyBorder="1" applyAlignment="1">
      <alignment vertical="center"/>
    </xf>
    <xf numFmtId="0" fontId="60" fillId="0" borderId="0" xfId="13" applyFont="1" applyBorder="1" applyAlignment="1">
      <alignment vertical="center"/>
    </xf>
    <xf numFmtId="0" fontId="51" fillId="0" borderId="0" xfId="13" applyFont="1" applyBorder="1" applyAlignment="1">
      <alignment vertical="center"/>
    </xf>
    <xf numFmtId="0" fontId="84" fillId="0" borderId="0" xfId="13" applyFont="1" applyAlignment="1">
      <alignment vertical="center"/>
    </xf>
    <xf numFmtId="0" fontId="84" fillId="0" borderId="28" xfId="13" applyFont="1" applyBorder="1"/>
    <xf numFmtId="0" fontId="60" fillId="0" borderId="1" xfId="13" applyFont="1" applyFill="1" applyBorder="1" applyAlignment="1">
      <alignment horizontal="center" vertical="center"/>
    </xf>
    <xf numFmtId="0" fontId="60" fillId="0" borderId="0" xfId="13" applyFont="1" applyBorder="1" applyAlignment="1">
      <alignment horizontal="center" vertical="center"/>
    </xf>
    <xf numFmtId="0" fontId="51" fillId="0" borderId="0" xfId="13" applyFont="1" applyBorder="1" applyAlignment="1">
      <alignment horizontal="center" vertical="center"/>
    </xf>
    <xf numFmtId="0" fontId="51" fillId="0" borderId="5" xfId="13" applyFont="1" applyFill="1" applyBorder="1" applyAlignment="1"/>
    <xf numFmtId="0" fontId="26" fillId="0" borderId="7" xfId="13" applyFont="1" applyBorder="1"/>
    <xf numFmtId="0" fontId="26" fillId="0" borderId="96" xfId="13" applyFont="1" applyBorder="1"/>
    <xf numFmtId="0" fontId="84" fillId="0" borderId="0" xfId="13" applyFont="1" applyBorder="1" applyAlignment="1"/>
    <xf numFmtId="0" fontId="60" fillId="0" borderId="0" xfId="13" applyFont="1" applyBorder="1" applyAlignment="1"/>
    <xf numFmtId="0" fontId="51" fillId="0" borderId="0" xfId="13" applyFont="1" applyBorder="1" applyAlignment="1">
      <alignment horizontal="center"/>
    </xf>
    <xf numFmtId="0" fontId="51" fillId="0" borderId="44" xfId="13" applyFont="1" applyFill="1" applyBorder="1" applyAlignment="1"/>
    <xf numFmtId="0" fontId="51" fillId="0" borderId="6" xfId="13" applyFont="1" applyFill="1" applyBorder="1" applyAlignment="1"/>
    <xf numFmtId="0" fontId="51" fillId="0" borderId="5" xfId="13" applyFont="1" applyFill="1" applyBorder="1" applyAlignment="1">
      <alignment horizontal="left" vertical="center"/>
    </xf>
    <xf numFmtId="0" fontId="51" fillId="0" borderId="5" xfId="13" applyFont="1" applyFill="1" applyBorder="1" applyAlignment="1">
      <alignment vertical="center"/>
    </xf>
    <xf numFmtId="0" fontId="51" fillId="0" borderId="46" xfId="13" applyFont="1" applyFill="1" applyBorder="1" applyAlignment="1"/>
    <xf numFmtId="0" fontId="51" fillId="0" borderId="11" xfId="13" applyFont="1" applyFill="1" applyBorder="1" applyAlignment="1"/>
    <xf numFmtId="0" fontId="51" fillId="0" borderId="0" xfId="13" applyFont="1" applyBorder="1" applyAlignment="1">
      <alignment horizontal="left" vertical="center"/>
    </xf>
    <xf numFmtId="0" fontId="51" fillId="0" borderId="13" xfId="13" applyFont="1" applyFill="1" applyBorder="1" applyAlignment="1">
      <alignment horizontal="center" vertical="center"/>
    </xf>
    <xf numFmtId="0" fontId="51" fillId="0" borderId="13" xfId="13" applyFont="1" applyBorder="1" applyAlignment="1">
      <alignment horizontal="center" vertical="center"/>
    </xf>
    <xf numFmtId="0" fontId="59" fillId="0" borderId="5" xfId="13" applyFont="1" applyFill="1" applyBorder="1" applyAlignment="1">
      <alignment vertical="center"/>
    </xf>
    <xf numFmtId="0" fontId="51" fillId="0" borderId="7" xfId="13" applyFont="1" applyFill="1" applyBorder="1" applyAlignment="1">
      <alignment horizontal="center" vertical="center"/>
    </xf>
    <xf numFmtId="0" fontId="51" fillId="0" borderId="6" xfId="13" applyFont="1" applyBorder="1" applyAlignment="1">
      <alignment horizontal="center" vertical="center"/>
    </xf>
    <xf numFmtId="0" fontId="51" fillId="0" borderId="96" xfId="13" applyFont="1" applyBorder="1" applyAlignment="1">
      <alignment horizontal="center" vertical="center"/>
    </xf>
    <xf numFmtId="0" fontId="51" fillId="0" borderId="14" xfId="13" applyFont="1" applyFill="1" applyBorder="1" applyAlignment="1">
      <alignment horizontal="center" vertical="center"/>
    </xf>
    <xf numFmtId="0" fontId="51" fillId="0" borderId="14" xfId="13" applyFont="1" applyBorder="1" applyAlignment="1">
      <alignment horizontal="center" vertical="center"/>
    </xf>
    <xf numFmtId="15" fontId="51" fillId="0" borderId="2" xfId="13" applyNumberFormat="1" applyFont="1" applyFill="1" applyBorder="1" applyAlignment="1">
      <alignment horizontal="left" vertical="top"/>
    </xf>
    <xf numFmtId="0" fontId="51" fillId="0" borderId="4" xfId="13" applyFont="1" applyBorder="1" applyAlignment="1">
      <alignment vertical="center"/>
    </xf>
    <xf numFmtId="0" fontId="51" fillId="0" borderId="95" xfId="13" applyFont="1" applyBorder="1" applyAlignment="1">
      <alignment vertical="center"/>
    </xf>
    <xf numFmtId="0" fontId="26" fillId="0" borderId="0" xfId="13" applyBorder="1" applyAlignment="1">
      <alignment horizontal="center" vertical="center"/>
    </xf>
    <xf numFmtId="0" fontId="55" fillId="0" borderId="0" xfId="13" applyFont="1" applyBorder="1" applyAlignment="1">
      <alignment horizontal="center" vertical="center"/>
    </xf>
    <xf numFmtId="0" fontId="26" fillId="0" borderId="28" xfId="13" applyFont="1" applyBorder="1"/>
    <xf numFmtId="0" fontId="51" fillId="0" borderId="32" xfId="13" applyFont="1" applyFill="1" applyBorder="1" applyAlignment="1">
      <alignment horizontal="center" vertical="center"/>
    </xf>
    <xf numFmtId="0" fontId="51" fillId="0" borderId="1" xfId="13" applyFont="1" applyFill="1" applyBorder="1" applyAlignment="1">
      <alignment horizontal="center" vertical="center"/>
    </xf>
    <xf numFmtId="0" fontId="51" fillId="0" borderId="4" xfId="13" applyFont="1" applyFill="1" applyBorder="1" applyAlignment="1">
      <alignment horizontal="center" vertical="center"/>
    </xf>
    <xf numFmtId="0" fontId="51" fillId="0" borderId="2" xfId="13" applyFont="1" applyFill="1" applyBorder="1" applyAlignment="1">
      <alignment horizontal="center" vertical="center"/>
    </xf>
    <xf numFmtId="0" fontId="51" fillId="0" borderId="23" xfId="13" applyFont="1" applyFill="1" applyBorder="1" applyAlignment="1">
      <alignment horizontal="center" vertical="center"/>
    </xf>
    <xf numFmtId="0" fontId="84" fillId="0" borderId="0" xfId="13" applyFont="1" applyBorder="1"/>
    <xf numFmtId="0" fontId="51" fillId="0" borderId="3" xfId="13" applyFont="1" applyFill="1" applyBorder="1" applyAlignment="1">
      <alignment vertical="center"/>
    </xf>
    <xf numFmtId="165" fontId="51" fillId="0" borderId="1" xfId="13" applyNumberFormat="1" applyFont="1" applyFill="1" applyBorder="1" applyAlignment="1">
      <alignment vertical="center"/>
    </xf>
    <xf numFmtId="165" fontId="51" fillId="0" borderId="3" xfId="13" applyNumberFormat="1" applyFont="1" applyFill="1" applyBorder="1" applyAlignment="1">
      <alignment vertical="center"/>
    </xf>
    <xf numFmtId="2" fontId="51" fillId="0" borderId="2" xfId="13" applyNumberFormat="1" applyFont="1" applyFill="1" applyBorder="1" applyAlignment="1">
      <alignment vertical="center"/>
    </xf>
    <xf numFmtId="2" fontId="51" fillId="0" borderId="23" xfId="13" applyNumberFormat="1" applyFont="1" applyFill="1" applyBorder="1" applyAlignment="1">
      <alignment horizontal="center" vertical="center"/>
    </xf>
    <xf numFmtId="0" fontId="51" fillId="0" borderId="32" xfId="13" quotePrefix="1" applyFont="1" applyFill="1" applyBorder="1" applyAlignment="1">
      <alignment horizontal="center" vertical="center"/>
    </xf>
    <xf numFmtId="0" fontId="51" fillId="0" borderId="1" xfId="13" applyFont="1" applyBorder="1" applyAlignment="1">
      <alignment horizontal="center" vertical="center"/>
    </xf>
    <xf numFmtId="165" fontId="51" fillId="0" borderId="1" xfId="13" applyNumberFormat="1" applyFont="1" applyBorder="1" applyAlignment="1">
      <alignment horizontal="center" vertical="center"/>
    </xf>
    <xf numFmtId="165" fontId="51" fillId="0" borderId="4" xfId="13" applyNumberFormat="1" applyFont="1" applyBorder="1" applyAlignment="1">
      <alignment vertical="center"/>
    </xf>
    <xf numFmtId="0" fontId="84" fillId="0" borderId="23" xfId="13" applyFont="1" applyBorder="1"/>
    <xf numFmtId="0" fontId="51" fillId="0" borderId="3" xfId="13" applyFont="1" applyFill="1" applyBorder="1" applyAlignment="1">
      <alignment horizontal="left" vertical="center"/>
    </xf>
    <xf numFmtId="0" fontId="88" fillId="0" borderId="3" xfId="13" applyFont="1" applyFill="1" applyBorder="1" applyAlignment="1">
      <alignment vertical="center"/>
    </xf>
    <xf numFmtId="2" fontId="51" fillId="0" borderId="23" xfId="13" applyNumberFormat="1" applyFont="1" applyFill="1" applyBorder="1" applyAlignment="1">
      <alignment vertical="center"/>
    </xf>
    <xf numFmtId="0" fontId="51" fillId="30" borderId="32" xfId="13" quotePrefix="1" applyFont="1" applyFill="1" applyBorder="1" applyAlignment="1">
      <alignment horizontal="center" vertical="center"/>
    </xf>
    <xf numFmtId="0" fontId="51" fillId="30" borderId="3" xfId="13" applyFont="1" applyFill="1" applyBorder="1" applyAlignment="1">
      <alignment vertical="center"/>
    </xf>
    <xf numFmtId="0" fontId="88" fillId="30" borderId="3" xfId="13" applyFont="1" applyFill="1" applyBorder="1" applyAlignment="1">
      <alignment vertical="center"/>
    </xf>
    <xf numFmtId="0" fontId="88" fillId="30" borderId="3" xfId="13" applyFont="1" applyFill="1" applyBorder="1" applyAlignment="1">
      <alignment horizontal="left" vertical="center"/>
    </xf>
    <xf numFmtId="0" fontId="51" fillId="30" borderId="1" xfId="13" applyFont="1" applyFill="1" applyBorder="1" applyAlignment="1">
      <alignment horizontal="center" vertical="center"/>
    </xf>
    <xf numFmtId="165" fontId="51" fillId="30" borderId="1" xfId="13" applyNumberFormat="1" applyFont="1" applyFill="1" applyBorder="1" applyAlignment="1">
      <alignment horizontal="center" vertical="center"/>
    </xf>
    <xf numFmtId="165" fontId="51" fillId="30" borderId="4" xfId="13" applyNumberFormat="1" applyFont="1" applyFill="1" applyBorder="1" applyAlignment="1">
      <alignment vertical="center"/>
    </xf>
    <xf numFmtId="169" fontId="51" fillId="30" borderId="0" xfId="13" applyNumberFormat="1" applyFont="1" applyFill="1" applyBorder="1"/>
    <xf numFmtId="2" fontId="51" fillId="30" borderId="23" xfId="13" applyNumberFormat="1" applyFont="1" applyFill="1" applyBorder="1" applyAlignment="1">
      <alignment vertical="center"/>
    </xf>
    <xf numFmtId="0" fontId="51" fillId="0" borderId="3" xfId="13" applyFont="1" applyBorder="1" applyAlignment="1">
      <alignment vertical="center"/>
    </xf>
    <xf numFmtId="0" fontId="88" fillId="0" borderId="3" xfId="13" applyFont="1" applyBorder="1" applyAlignment="1">
      <alignment vertical="center"/>
    </xf>
    <xf numFmtId="0" fontId="89" fillId="0" borderId="0" xfId="13" applyFont="1"/>
    <xf numFmtId="2" fontId="51" fillId="30" borderId="0" xfId="13" applyNumberFormat="1" applyFont="1" applyFill="1" applyBorder="1"/>
    <xf numFmtId="2" fontId="51" fillId="0" borderId="43" xfId="13" applyNumberFormat="1" applyFont="1" applyFill="1" applyBorder="1" applyAlignment="1">
      <alignment vertical="center"/>
    </xf>
    <xf numFmtId="2" fontId="84" fillId="0" borderId="0" xfId="13" applyNumberFormat="1" applyFont="1"/>
    <xf numFmtId="165" fontId="88" fillId="3" borderId="4" xfId="13" applyNumberFormat="1" applyFont="1" applyFill="1" applyBorder="1" applyAlignment="1">
      <alignment vertical="center"/>
    </xf>
    <xf numFmtId="2" fontId="51" fillId="0" borderId="2" xfId="13" applyNumberFormat="1" applyFont="1" applyBorder="1" applyAlignment="1">
      <alignment vertical="center"/>
    </xf>
    <xf numFmtId="2" fontId="51" fillId="0" borderId="97" xfId="13" applyNumberFormat="1" applyFont="1" applyFill="1" applyBorder="1" applyAlignment="1">
      <alignment vertical="center"/>
    </xf>
    <xf numFmtId="165" fontId="51" fillId="0" borderId="1" xfId="13" quotePrefix="1" applyNumberFormat="1" applyFont="1" applyBorder="1" applyAlignment="1">
      <alignment horizontal="center" vertical="center"/>
    </xf>
    <xf numFmtId="165" fontId="88" fillId="0" borderId="4" xfId="13" applyNumberFormat="1" applyFont="1" applyBorder="1" applyAlignment="1">
      <alignment vertical="center"/>
    </xf>
    <xf numFmtId="2" fontId="51" fillId="0" borderId="23" xfId="13" applyNumberFormat="1" applyFont="1" applyBorder="1" applyAlignment="1">
      <alignment vertical="center"/>
    </xf>
    <xf numFmtId="0" fontId="51" fillId="0" borderId="1" xfId="13" applyNumberFormat="1" applyFont="1" applyBorder="1" applyAlignment="1">
      <alignment horizontal="center" vertical="center"/>
    </xf>
    <xf numFmtId="0" fontId="51" fillId="0" borderId="2" xfId="13" applyFont="1" applyBorder="1"/>
    <xf numFmtId="0" fontId="89" fillId="0" borderId="0" xfId="13" applyFont="1" applyBorder="1"/>
    <xf numFmtId="0" fontId="90" fillId="0" borderId="0" xfId="13" applyFont="1" applyBorder="1"/>
    <xf numFmtId="0" fontId="51" fillId="0" borderId="2" xfId="13" applyFont="1" applyBorder="1" applyAlignment="1">
      <alignment horizontal="left" vertical="center"/>
    </xf>
    <xf numFmtId="0" fontId="91" fillId="0" borderId="3" xfId="13" applyFont="1" applyBorder="1"/>
    <xf numFmtId="0" fontId="88" fillId="0" borderId="3" xfId="13" applyFont="1" applyBorder="1"/>
    <xf numFmtId="0" fontId="51" fillId="0" borderId="2" xfId="13" applyFont="1" applyFill="1" applyBorder="1" applyAlignment="1">
      <alignment vertical="center"/>
    </xf>
    <xf numFmtId="0" fontId="88" fillId="0" borderId="1" xfId="13" applyFont="1" applyBorder="1" applyAlignment="1">
      <alignment horizontal="center" vertical="center"/>
    </xf>
    <xf numFmtId="165" fontId="51" fillId="0" borderId="1" xfId="13" applyNumberFormat="1" applyFont="1" applyBorder="1" applyAlignment="1">
      <alignment vertical="center"/>
    </xf>
    <xf numFmtId="2" fontId="51" fillId="0" borderId="5" xfId="13" applyNumberFormat="1" applyFont="1" applyBorder="1" applyAlignment="1">
      <alignment vertical="center"/>
    </xf>
    <xf numFmtId="0" fontId="84" fillId="0" borderId="0" xfId="13" applyFont="1" applyAlignment="1">
      <alignment horizontal="center"/>
    </xf>
    <xf numFmtId="0" fontId="80" fillId="30" borderId="3" xfId="13" applyFont="1" applyFill="1" applyBorder="1"/>
    <xf numFmtId="0" fontId="92" fillId="30" borderId="3" xfId="13" applyFont="1" applyFill="1" applyBorder="1"/>
    <xf numFmtId="165" fontId="51" fillId="30" borderId="1" xfId="13" applyNumberFormat="1" applyFont="1" applyFill="1" applyBorder="1" applyAlignment="1">
      <alignment vertical="center"/>
    </xf>
    <xf numFmtId="2" fontId="51" fillId="30" borderId="3" xfId="13" applyNumberFormat="1" applyFont="1" applyFill="1" applyBorder="1" applyAlignment="1">
      <alignment vertical="center"/>
    </xf>
    <xf numFmtId="2" fontId="68" fillId="30" borderId="23" xfId="13" applyNumberFormat="1" applyFont="1" applyFill="1" applyBorder="1" applyAlignment="1">
      <alignment vertical="center"/>
    </xf>
    <xf numFmtId="0" fontId="84" fillId="0" borderId="3" xfId="13" applyFont="1" applyBorder="1"/>
    <xf numFmtId="0" fontId="51" fillId="0" borderId="3" xfId="13" applyFont="1" applyBorder="1" applyAlignment="1">
      <alignment horizontal="right" vertical="center"/>
    </xf>
    <xf numFmtId="2" fontId="51" fillId="0" borderId="3" xfId="13" applyNumberFormat="1" applyFont="1" applyBorder="1" applyAlignment="1">
      <alignment vertical="center"/>
    </xf>
    <xf numFmtId="2" fontId="51" fillId="0" borderId="23" xfId="13" applyNumberFormat="1" applyFont="1" applyBorder="1" applyAlignment="1">
      <alignment horizontal="right" vertical="center"/>
    </xf>
    <xf numFmtId="0" fontId="26" fillId="0" borderId="3" xfId="13" applyFont="1" applyBorder="1"/>
    <xf numFmtId="0" fontId="26" fillId="0" borderId="11" xfId="13" applyFont="1" applyBorder="1"/>
    <xf numFmtId="0" fontId="26" fillId="0" borderId="0" xfId="13" applyFont="1" applyBorder="1"/>
    <xf numFmtId="0" fontId="51" fillId="0" borderId="15" xfId="13" applyFont="1" applyBorder="1" applyAlignment="1">
      <alignment horizontal="center" vertical="center"/>
    </xf>
    <xf numFmtId="0" fontId="51" fillId="0" borderId="32" xfId="13" applyFont="1" applyBorder="1" applyAlignment="1">
      <alignment horizontal="center" vertical="center"/>
    </xf>
    <xf numFmtId="0" fontId="51" fillId="0" borderId="3" xfId="13" applyFont="1" applyBorder="1" applyAlignment="1">
      <alignment horizontal="left" vertical="center"/>
    </xf>
    <xf numFmtId="0" fontId="51" fillId="0" borderId="0" xfId="13" applyFont="1" applyBorder="1" applyAlignment="1"/>
    <xf numFmtId="0" fontId="51" fillId="0" borderId="3" xfId="13" applyFont="1" applyBorder="1" applyAlignment="1">
      <alignment horizontal="center" vertical="center"/>
    </xf>
    <xf numFmtId="2" fontId="51" fillId="0" borderId="23" xfId="13" applyNumberFormat="1" applyFont="1" applyBorder="1" applyAlignment="1">
      <alignment horizontal="center" vertical="center"/>
    </xf>
    <xf numFmtId="165" fontId="51" fillId="0" borderId="1" xfId="13" quotePrefix="1" applyNumberFormat="1" applyFont="1" applyBorder="1" applyAlignment="1">
      <alignment vertical="center"/>
    </xf>
    <xf numFmtId="0" fontId="51" fillId="0" borderId="28" xfId="13" applyFont="1" applyBorder="1" applyAlignment="1">
      <alignment horizontal="center" vertical="center"/>
    </xf>
    <xf numFmtId="0" fontId="51" fillId="0" borderId="6" xfId="13" applyFont="1" applyBorder="1" applyAlignment="1">
      <alignment vertical="center"/>
    </xf>
    <xf numFmtId="0" fontId="51" fillId="0" borderId="0" xfId="13" applyFont="1" applyBorder="1" applyAlignment="1">
      <alignment horizontal="right" vertical="center"/>
    </xf>
    <xf numFmtId="0" fontId="26" fillId="0" borderId="0" xfId="13" applyFont="1" applyBorder="1" applyAlignment="1">
      <alignment vertical="center"/>
    </xf>
    <xf numFmtId="1" fontId="68" fillId="30" borderId="23" xfId="13" applyNumberFormat="1" applyFont="1" applyFill="1" applyBorder="1" applyAlignment="1">
      <alignment horizontal="left" vertical="center" indent="1"/>
    </xf>
    <xf numFmtId="0" fontId="51" fillId="0" borderId="46" xfId="13" applyFont="1" applyBorder="1" applyAlignment="1">
      <alignment horizontal="left" vertical="center"/>
    </xf>
    <xf numFmtId="0" fontId="51" fillId="0" borderId="11" xfId="13" applyFont="1" applyBorder="1" applyAlignment="1">
      <alignment horizontal="left" vertical="center"/>
    </xf>
    <xf numFmtId="0" fontId="51" fillId="0" borderId="95" xfId="13" applyFont="1" applyBorder="1" applyAlignment="1">
      <alignment horizontal="left" vertical="center"/>
    </xf>
    <xf numFmtId="0" fontId="79" fillId="0" borderId="45" xfId="13" quotePrefix="1" applyFont="1" applyBorder="1" applyAlignment="1">
      <alignment horizontal="center" vertical="center"/>
    </xf>
    <xf numFmtId="0" fontId="51" fillId="0" borderId="3" xfId="13" quotePrefix="1" applyFont="1" applyBorder="1" applyAlignment="1">
      <alignment horizontal="left" vertical="center"/>
    </xf>
    <xf numFmtId="0" fontId="51" fillId="0" borderId="50" xfId="13" applyFont="1" applyBorder="1" applyAlignment="1">
      <alignment vertical="center"/>
    </xf>
    <xf numFmtId="0" fontId="51" fillId="0" borderId="45" xfId="13" quotePrefix="1" applyFont="1" applyBorder="1" applyAlignment="1">
      <alignment horizontal="center" vertical="center"/>
    </xf>
    <xf numFmtId="0" fontId="51" fillId="0" borderId="45" xfId="13" applyFont="1" applyBorder="1" applyAlignment="1">
      <alignment horizontal="left" vertical="center"/>
    </xf>
    <xf numFmtId="0" fontId="51" fillId="0" borderId="45" xfId="13" applyFont="1" applyBorder="1" applyAlignment="1">
      <alignment horizontal="center" vertical="center"/>
    </xf>
    <xf numFmtId="0" fontId="59" fillId="0" borderId="0" xfId="13" applyFont="1" applyBorder="1" applyAlignment="1">
      <alignment vertical="center"/>
    </xf>
    <xf numFmtId="0" fontId="51" fillId="0" borderId="82" xfId="13" applyFont="1" applyBorder="1" applyAlignment="1">
      <alignment horizontal="center" vertical="center"/>
    </xf>
    <xf numFmtId="0" fontId="51" fillId="0" borderId="81" xfId="13" quotePrefix="1" applyFont="1" applyBorder="1" applyAlignment="1">
      <alignment horizontal="left" vertical="center"/>
    </xf>
    <xf numFmtId="0" fontId="51" fillId="0" borderId="81" xfId="13" applyFont="1" applyBorder="1" applyAlignment="1">
      <alignment vertical="center"/>
    </xf>
    <xf numFmtId="0" fontId="51" fillId="0" borderId="52" xfId="13" applyFont="1" applyBorder="1" applyAlignment="1">
      <alignment vertical="center"/>
    </xf>
    <xf numFmtId="0" fontId="51" fillId="0" borderId="77" xfId="13" applyFont="1" applyBorder="1" applyAlignment="1">
      <alignment horizontal="left" indent="1"/>
    </xf>
    <xf numFmtId="0" fontId="51" fillId="0" borderId="26" xfId="13" applyFont="1" applyBorder="1" applyAlignment="1">
      <alignment horizontal="center"/>
    </xf>
    <xf numFmtId="0" fontId="60" fillId="0" borderId="0" xfId="13" applyFont="1" applyBorder="1" applyAlignment="1">
      <alignment horizontal="center"/>
    </xf>
    <xf numFmtId="177" fontId="95" fillId="0" borderId="0" xfId="13" applyNumberFormat="1" applyFont="1" applyBorder="1" applyAlignment="1">
      <alignment horizontal="center" vertical="center"/>
    </xf>
    <xf numFmtId="0" fontId="51" fillId="0" borderId="0" xfId="13" applyFont="1" applyFill="1" applyBorder="1"/>
    <xf numFmtId="0" fontId="96" fillId="0" borderId="0" xfId="13" applyFont="1" applyFill="1" applyBorder="1"/>
    <xf numFmtId="0" fontId="26" fillId="0" borderId="0" xfId="13" applyFont="1" applyFill="1" applyBorder="1"/>
    <xf numFmtId="0" fontId="59" fillId="0" borderId="0" xfId="13" applyFont="1" applyBorder="1"/>
    <xf numFmtId="0" fontId="59" fillId="0" borderId="0" xfId="13" applyFont="1"/>
    <xf numFmtId="15" fontId="51" fillId="0" borderId="0" xfId="13" applyNumberFormat="1" applyFont="1" applyBorder="1" applyAlignment="1">
      <alignment horizontal="center" vertical="center"/>
    </xf>
    <xf numFmtId="2" fontId="0" fillId="0" borderId="0" xfId="0" applyNumberFormat="1" applyFill="1" applyBorder="1"/>
    <xf numFmtId="1" fontId="0" fillId="0" borderId="1" xfId="0" applyNumberFormat="1" applyBorder="1"/>
    <xf numFmtId="2" fontId="26" fillId="0" borderId="57" xfId="12" applyNumberFormat="1" applyBorder="1"/>
    <xf numFmtId="166" fontId="26" fillId="0" borderId="57" xfId="12" applyNumberFormat="1" applyBorder="1"/>
    <xf numFmtId="0" fontId="12" fillId="3" borderId="1" xfId="0" applyFont="1" applyFill="1" applyBorder="1" applyAlignment="1">
      <alignment horizontal="center" vertical="center"/>
    </xf>
    <xf numFmtId="0" fontId="12" fillId="3" borderId="4" xfId="0" applyFont="1" applyFill="1" applyBorder="1" applyAlignment="1">
      <alignment horizontal="center" vertical="center"/>
    </xf>
    <xf numFmtId="0" fontId="48" fillId="15" borderId="0" xfId="7" applyFont="1" applyFill="1">
      <alignment vertical="center"/>
    </xf>
    <xf numFmtId="0" fontId="98" fillId="15" borderId="59" xfId="3" applyFont="1" applyFill="1" applyBorder="1" applyAlignment="1">
      <alignment vertical="center"/>
    </xf>
    <xf numFmtId="0" fontId="98" fillId="15" borderId="0" xfId="3" applyFont="1" applyFill="1" applyAlignment="1">
      <alignment vertical="center"/>
    </xf>
    <xf numFmtId="0" fontId="41" fillId="15" borderId="0" xfId="3" applyFont="1" applyFill="1" applyAlignment="1">
      <alignment vertical="center"/>
    </xf>
    <xf numFmtId="0" fontId="41" fillId="15" borderId="0" xfId="3" applyFont="1" applyFill="1" applyAlignment="1">
      <alignment horizontal="left" vertical="center"/>
    </xf>
    <xf numFmtId="0" fontId="101" fillId="15" borderId="98" xfId="3" applyFont="1" applyFill="1" applyBorder="1" applyAlignment="1">
      <alignment vertical="center"/>
    </xf>
    <xf numFmtId="174" fontId="102" fillId="15" borderId="30" xfId="7" applyNumberFormat="1" applyFont="1" applyFill="1" applyBorder="1" applyAlignment="1">
      <alignment horizontal="left" vertical="center"/>
    </xf>
    <xf numFmtId="165" fontId="101" fillId="15" borderId="25" xfId="3" applyNumberFormat="1" applyFont="1" applyFill="1" applyBorder="1" applyAlignment="1">
      <alignment horizontal="left" vertical="center"/>
    </xf>
    <xf numFmtId="0" fontId="101" fillId="15" borderId="25" xfId="3" applyFont="1" applyFill="1" applyBorder="1" applyAlignment="1">
      <alignment vertical="center"/>
    </xf>
    <xf numFmtId="0" fontId="103" fillId="15" borderId="30" xfId="3" applyFont="1" applyFill="1" applyBorder="1" applyAlignment="1">
      <alignment vertical="center"/>
    </xf>
    <xf numFmtId="0" fontId="104" fillId="15" borderId="80" xfId="3" applyFont="1" applyFill="1" applyBorder="1" applyAlignment="1">
      <alignment vertical="center"/>
    </xf>
    <xf numFmtId="0" fontId="101" fillId="15" borderId="100" xfId="3" applyFont="1" applyFill="1" applyBorder="1" applyAlignment="1">
      <alignment horizontal="left" vertical="center"/>
    </xf>
    <xf numFmtId="0" fontId="101" fillId="15" borderId="99" xfId="3" applyFont="1" applyFill="1" applyBorder="1" applyAlignment="1">
      <alignment horizontal="left" vertical="center"/>
    </xf>
    <xf numFmtId="0" fontId="101" fillId="15" borderId="101" xfId="3" applyFont="1" applyFill="1" applyBorder="1" applyAlignment="1">
      <alignment horizontal="left" vertical="center"/>
    </xf>
    <xf numFmtId="0" fontId="101" fillId="15" borderId="59" xfId="3" applyFont="1" applyFill="1" applyBorder="1" applyAlignment="1">
      <alignment horizontal="left" vertical="center"/>
    </xf>
    <xf numFmtId="0" fontId="103" fillId="15" borderId="29" xfId="3" applyFont="1" applyFill="1" applyBorder="1" applyAlignment="1">
      <alignment horizontal="left" vertical="center"/>
    </xf>
    <xf numFmtId="175" fontId="101" fillId="15" borderId="0" xfId="3" applyNumberFormat="1" applyFont="1" applyFill="1" applyAlignment="1">
      <alignment horizontal="left" vertical="center"/>
    </xf>
    <xf numFmtId="0" fontId="101" fillId="15" borderId="0" xfId="3" applyFont="1" applyFill="1" applyAlignment="1">
      <alignment horizontal="left" vertical="center"/>
    </xf>
    <xf numFmtId="0" fontId="41" fillId="15" borderId="80" xfId="3" applyFont="1" applyFill="1" applyBorder="1" applyAlignment="1">
      <alignment vertical="center"/>
    </xf>
    <xf numFmtId="0" fontId="41" fillId="15" borderId="5" xfId="3" applyFont="1" applyFill="1" applyBorder="1" applyAlignment="1">
      <alignment horizontal="center" vertical="center"/>
    </xf>
    <xf numFmtId="0" fontId="41" fillId="15" borderId="6" xfId="3" applyFont="1" applyFill="1" applyBorder="1" applyAlignment="1">
      <alignment horizontal="center" vertical="center"/>
    </xf>
    <xf numFmtId="0" fontId="41" fillId="15" borderId="6" xfId="3" applyFont="1" applyFill="1" applyBorder="1" applyAlignment="1">
      <alignment horizontal="left" vertical="center"/>
    </xf>
    <xf numFmtId="0" fontId="41" fillId="15" borderId="60" xfId="3" applyFont="1" applyFill="1" applyBorder="1" applyAlignment="1">
      <alignment horizontal="left" vertical="center"/>
    </xf>
    <xf numFmtId="0" fontId="103" fillId="15" borderId="30" xfId="3" applyFont="1" applyFill="1" applyBorder="1" applyAlignment="1">
      <alignment horizontal="left" vertical="center"/>
    </xf>
    <xf numFmtId="0" fontId="101" fillId="15" borderId="64" xfId="3" applyFont="1" applyFill="1" applyBorder="1" applyAlignment="1">
      <alignment horizontal="center" vertical="center"/>
    </xf>
    <xf numFmtId="0" fontId="101" fillId="15" borderId="11" xfId="3" applyFont="1" applyFill="1" applyBorder="1" applyAlignment="1">
      <alignment vertical="center"/>
    </xf>
    <xf numFmtId="0" fontId="101" fillId="15" borderId="11" xfId="3" applyFont="1" applyFill="1" applyBorder="1" applyAlignment="1">
      <alignment horizontal="left" vertical="center"/>
    </xf>
    <xf numFmtId="0" fontId="101" fillId="15" borderId="12" xfId="3" applyFont="1" applyFill="1" applyBorder="1" applyAlignment="1">
      <alignment horizontal="center" vertical="center"/>
    </xf>
    <xf numFmtId="0" fontId="101" fillId="15" borderId="0" xfId="3" applyFont="1" applyFill="1" applyAlignment="1">
      <alignment horizontal="right" vertical="center"/>
    </xf>
    <xf numFmtId="0" fontId="101" fillId="15" borderId="102" xfId="3" applyFont="1" applyFill="1" applyBorder="1" applyAlignment="1">
      <alignment horizontal="center" vertical="center"/>
    </xf>
    <xf numFmtId="0" fontId="101" fillId="15" borderId="1" xfId="3" applyFont="1" applyFill="1" applyBorder="1" applyAlignment="1">
      <alignment horizontal="center" vertical="center"/>
    </xf>
    <xf numFmtId="0" fontId="105" fillId="15" borderId="0" xfId="3" applyFont="1" applyFill="1" applyAlignment="1">
      <alignment horizontal="left" vertical="center"/>
    </xf>
    <xf numFmtId="0" fontId="41" fillId="15" borderId="60" xfId="3" applyFont="1" applyFill="1" applyBorder="1" applyAlignment="1">
      <alignment vertical="center"/>
    </xf>
    <xf numFmtId="0" fontId="41" fillId="15" borderId="9" xfId="3" applyFont="1" applyFill="1" applyBorder="1" applyAlignment="1">
      <alignment horizontal="center" vertical="center"/>
    </xf>
    <xf numFmtId="0" fontId="41" fillId="15" borderId="0" xfId="3" applyFont="1" applyFill="1" applyAlignment="1">
      <alignment horizontal="right" vertical="center"/>
    </xf>
    <xf numFmtId="0" fontId="41" fillId="15" borderId="0" xfId="3" applyFont="1" applyFill="1" applyAlignment="1">
      <alignment horizontal="center" vertical="center"/>
    </xf>
    <xf numFmtId="0" fontId="48" fillId="15" borderId="0" xfId="3" applyFont="1" applyFill="1" applyAlignment="1">
      <alignment vertical="center"/>
    </xf>
    <xf numFmtId="0" fontId="48" fillId="15" borderId="60" xfId="3" applyFont="1" applyFill="1" applyBorder="1" applyAlignment="1">
      <alignment vertical="center"/>
    </xf>
    <xf numFmtId="0" fontId="41" fillId="15" borderId="8" xfId="3" applyFont="1" applyFill="1" applyBorder="1" applyAlignment="1">
      <alignment horizontal="right" vertical="center"/>
    </xf>
    <xf numFmtId="12" fontId="41" fillId="15" borderId="9" xfId="3" applyNumberFormat="1" applyFont="1" applyFill="1" applyBorder="1" applyAlignment="1">
      <alignment horizontal="right" vertical="center"/>
    </xf>
    <xf numFmtId="0" fontId="106" fillId="15" borderId="9" xfId="3" applyFont="1" applyFill="1" applyBorder="1" applyAlignment="1">
      <alignment horizontal="center" vertical="center"/>
    </xf>
    <xf numFmtId="0" fontId="48" fillId="15" borderId="11" xfId="3" applyFont="1" applyFill="1" applyBorder="1" applyAlignment="1">
      <alignment horizontal="center" vertical="center"/>
    </xf>
    <xf numFmtId="0" fontId="48" fillId="15" borderId="11" xfId="3" applyFont="1" applyFill="1" applyBorder="1" applyAlignment="1">
      <alignment vertical="center"/>
    </xf>
    <xf numFmtId="0" fontId="48" fillId="15" borderId="67" xfId="3" applyFont="1" applyFill="1" applyBorder="1" applyAlignment="1">
      <alignment vertical="center"/>
    </xf>
    <xf numFmtId="3" fontId="41" fillId="15" borderId="9" xfId="3" applyNumberFormat="1" applyFont="1" applyFill="1" applyBorder="1" applyAlignment="1">
      <alignment horizontal="center" vertical="center"/>
    </xf>
    <xf numFmtId="0" fontId="48" fillId="15" borderId="0" xfId="3" applyFont="1" applyFill="1" applyAlignment="1">
      <alignment horizontal="center" vertical="center"/>
    </xf>
    <xf numFmtId="0" fontId="106" fillId="15" borderId="0" xfId="3" applyFont="1" applyFill="1" applyAlignment="1">
      <alignment horizontal="center" vertical="center"/>
    </xf>
    <xf numFmtId="0" fontId="106" fillId="15" borderId="60" xfId="3" applyFont="1" applyFill="1" applyBorder="1" applyAlignment="1">
      <alignment horizontal="center" vertical="center"/>
    </xf>
    <xf numFmtId="0" fontId="101" fillId="15" borderId="64" xfId="3" applyFont="1" applyFill="1" applyBorder="1" applyAlignment="1">
      <alignment horizontal="left" vertical="center"/>
    </xf>
    <xf numFmtId="0" fontId="41" fillId="15" borderId="12" xfId="3" applyFont="1" applyFill="1" applyBorder="1" applyAlignment="1">
      <alignment horizontal="center" vertical="center"/>
    </xf>
    <xf numFmtId="0" fontId="101" fillId="15" borderId="0" xfId="3" applyFont="1" applyFill="1" applyAlignment="1">
      <alignment horizontal="center" vertical="center"/>
    </xf>
    <xf numFmtId="0" fontId="101" fillId="16" borderId="1" xfId="3" applyFont="1" applyFill="1" applyBorder="1" applyAlignment="1">
      <alignment horizontal="center" vertical="center"/>
    </xf>
    <xf numFmtId="0" fontId="101" fillId="15" borderId="60" xfId="3" applyFont="1" applyFill="1" applyBorder="1" applyAlignment="1">
      <alignment horizontal="center" vertical="center"/>
    </xf>
    <xf numFmtId="2" fontId="41" fillId="15" borderId="0" xfId="3" applyNumberFormat="1" applyFont="1" applyFill="1" applyAlignment="1">
      <alignment horizontal="center" vertical="center"/>
    </xf>
    <xf numFmtId="2" fontId="41" fillId="15" borderId="60" xfId="3" applyNumberFormat="1" applyFont="1" applyFill="1" applyBorder="1" applyAlignment="1">
      <alignment horizontal="center" vertical="center"/>
    </xf>
    <xf numFmtId="0" fontId="101" fillId="15" borderId="103" xfId="3" applyFont="1" applyFill="1" applyBorder="1" applyAlignment="1">
      <alignment vertical="center"/>
    </xf>
    <xf numFmtId="0" fontId="107" fillId="15" borderId="0" xfId="3" applyFont="1" applyFill="1" applyAlignment="1">
      <alignment vertical="center"/>
    </xf>
    <xf numFmtId="3" fontId="41" fillId="16" borderId="8" xfId="3" applyNumberFormat="1" applyFont="1" applyFill="1" applyBorder="1" applyAlignment="1">
      <alignment horizontal="right" vertical="center"/>
    </xf>
    <xf numFmtId="0" fontId="41" fillId="15" borderId="9" xfId="3" applyFont="1" applyFill="1" applyBorder="1" applyAlignment="1">
      <alignment horizontal="left" vertical="center"/>
    </xf>
    <xf numFmtId="0" fontId="41" fillId="16" borderId="10" xfId="3" applyFont="1" applyFill="1" applyBorder="1" applyAlignment="1">
      <alignment horizontal="right" vertical="center"/>
    </xf>
    <xf numFmtId="0" fontId="41" fillId="15" borderId="12" xfId="3" applyFont="1" applyFill="1" applyBorder="1" applyAlignment="1">
      <alignment horizontal="left" vertical="center"/>
    </xf>
    <xf numFmtId="0" fontId="41" fillId="15" borderId="60" xfId="3" applyFont="1" applyFill="1" applyBorder="1" applyAlignment="1">
      <alignment horizontal="center" vertical="center"/>
    </xf>
    <xf numFmtId="0" fontId="101" fillId="15" borderId="2" xfId="3" applyFont="1" applyFill="1" applyBorder="1" applyAlignment="1">
      <alignment horizontal="center" vertical="center"/>
    </xf>
    <xf numFmtId="0" fontId="101" fillId="15" borderId="4" xfId="3" applyFont="1" applyFill="1" applyBorder="1" applyAlignment="1">
      <alignment horizontal="center" vertical="center"/>
    </xf>
    <xf numFmtId="0" fontId="101" fillId="15" borderId="63" xfId="3" applyFont="1" applyFill="1" applyBorder="1" applyAlignment="1">
      <alignment horizontal="center" vertical="center"/>
    </xf>
    <xf numFmtId="0" fontId="41" fillId="15" borderId="59" xfId="3" applyFont="1" applyFill="1" applyBorder="1" applyAlignment="1">
      <alignment vertical="center"/>
    </xf>
    <xf numFmtId="0" fontId="41" fillId="15" borderId="13" xfId="3" applyFont="1" applyFill="1" applyBorder="1" applyAlignment="1">
      <alignment horizontal="center" vertical="center"/>
    </xf>
    <xf numFmtId="0" fontId="41" fillId="15" borderId="8" xfId="3" applyFont="1" applyFill="1" applyBorder="1" applyAlignment="1">
      <alignment vertical="center"/>
    </xf>
    <xf numFmtId="3" fontId="41" fillId="15" borderId="104" xfId="3" applyNumberFormat="1" applyFont="1" applyFill="1" applyBorder="1" applyAlignment="1">
      <alignment horizontal="center" vertical="center"/>
    </xf>
    <xf numFmtId="0" fontId="41" fillId="15" borderId="15" xfId="3" applyFont="1" applyFill="1" applyBorder="1" applyAlignment="1">
      <alignment horizontal="center" vertical="center"/>
    </xf>
    <xf numFmtId="3" fontId="41" fillId="15" borderId="105" xfId="3" applyNumberFormat="1" applyFont="1" applyFill="1" applyBorder="1" applyAlignment="1">
      <alignment horizontal="center" vertical="center"/>
    </xf>
    <xf numFmtId="12" fontId="41" fillId="15" borderId="15" xfId="3" applyNumberFormat="1" applyFont="1" applyFill="1" applyBorder="1" applyAlignment="1">
      <alignment horizontal="center" vertical="center"/>
    </xf>
    <xf numFmtId="2" fontId="41" fillId="15" borderId="105" xfId="3" applyNumberFormat="1" applyFont="1" applyFill="1" applyBorder="1" applyAlignment="1">
      <alignment horizontal="center" vertical="center"/>
    </xf>
    <xf numFmtId="0" fontId="41" fillId="15" borderId="103" xfId="3" applyFont="1" applyFill="1" applyBorder="1" applyAlignment="1">
      <alignment vertical="center"/>
    </xf>
    <xf numFmtId="0" fontId="41" fillId="15" borderId="15" xfId="3" applyFont="1" applyFill="1" applyBorder="1" applyAlignment="1">
      <alignment horizontal="left" vertical="center"/>
    </xf>
    <xf numFmtId="2" fontId="41" fillId="15" borderId="0" xfId="3" applyNumberFormat="1" applyFont="1" applyFill="1" applyAlignment="1">
      <alignment horizontal="left" vertical="center"/>
    </xf>
    <xf numFmtId="2" fontId="48" fillId="15" borderId="0" xfId="3" applyNumberFormat="1" applyFont="1" applyFill="1" applyAlignment="1">
      <alignment horizontal="center" vertical="center"/>
    </xf>
    <xf numFmtId="2" fontId="41" fillId="15" borderId="8" xfId="3" applyNumberFormat="1" applyFont="1" applyFill="1" applyBorder="1" applyAlignment="1">
      <alignment horizontal="right" vertical="center"/>
    </xf>
    <xf numFmtId="1" fontId="41" fillId="15" borderId="0" xfId="3" applyNumberFormat="1" applyFont="1" applyFill="1" applyAlignment="1">
      <alignment vertical="center"/>
    </xf>
    <xf numFmtId="2" fontId="41" fillId="15" borderId="9" xfId="3" applyNumberFormat="1" applyFont="1" applyFill="1" applyBorder="1" applyAlignment="1">
      <alignment horizontal="center" vertical="center"/>
    </xf>
    <xf numFmtId="2" fontId="41" fillId="15" borderId="15" xfId="3" applyNumberFormat="1" applyFont="1" applyFill="1" applyBorder="1" applyAlignment="1">
      <alignment horizontal="center" vertical="center"/>
    </xf>
    <xf numFmtId="1" fontId="41" fillId="15" borderId="0" xfId="3" applyNumberFormat="1" applyFont="1" applyFill="1" applyAlignment="1">
      <alignment horizontal="right" vertical="center"/>
    </xf>
    <xf numFmtId="0" fontId="41" fillId="15" borderId="9" xfId="3" applyFont="1" applyFill="1" applyBorder="1" applyAlignment="1">
      <alignment vertical="center"/>
    </xf>
    <xf numFmtId="0" fontId="108" fillId="15" borderId="103" xfId="3" applyFont="1" applyFill="1" applyBorder="1" applyAlignment="1">
      <alignment vertical="center"/>
    </xf>
    <xf numFmtId="0" fontId="108" fillId="15" borderId="8" xfId="3" applyFont="1" applyFill="1" applyBorder="1" applyAlignment="1">
      <alignment vertical="center"/>
    </xf>
    <xf numFmtId="2" fontId="41" fillId="15" borderId="0" xfId="3" applyNumberFormat="1" applyFont="1" applyFill="1" applyAlignment="1">
      <alignment vertical="center"/>
    </xf>
    <xf numFmtId="0" fontId="41" fillId="15" borderId="15" xfId="3" applyFont="1" applyFill="1" applyBorder="1" applyAlignment="1">
      <alignment vertical="center"/>
    </xf>
    <xf numFmtId="0" fontId="41" fillId="15" borderId="8" xfId="3" applyFont="1" applyFill="1" applyBorder="1" applyAlignment="1">
      <alignment horizontal="left" vertical="center"/>
    </xf>
    <xf numFmtId="2" fontId="41" fillId="15" borderId="8" xfId="3" applyNumberFormat="1" applyFont="1" applyFill="1" applyBorder="1" applyAlignment="1">
      <alignment vertical="center"/>
    </xf>
    <xf numFmtId="0" fontId="41" fillId="15" borderId="15" xfId="3" quotePrefix="1" applyFont="1" applyFill="1" applyBorder="1" applyAlignment="1">
      <alignment horizontal="center" vertical="center"/>
    </xf>
    <xf numFmtId="2" fontId="41" fillId="15" borderId="8" xfId="3" applyNumberFormat="1" applyFont="1" applyFill="1" applyBorder="1" applyAlignment="1">
      <alignment horizontal="left" vertical="center"/>
    </xf>
    <xf numFmtId="2" fontId="41" fillId="15" borderId="9" xfId="3" applyNumberFormat="1" applyFont="1" applyFill="1" applyBorder="1" applyAlignment="1">
      <alignment horizontal="left" vertical="center"/>
    </xf>
    <xf numFmtId="2" fontId="41" fillId="15" borderId="9" xfId="3" applyNumberFormat="1" applyFont="1" applyFill="1" applyBorder="1" applyAlignment="1">
      <alignment vertical="center"/>
    </xf>
    <xf numFmtId="0" fontId="108" fillId="15" borderId="15" xfId="3" applyFont="1" applyFill="1" applyBorder="1" applyAlignment="1">
      <alignment horizontal="left" vertical="center"/>
    </xf>
    <xf numFmtId="2" fontId="41" fillId="15" borderId="8" xfId="3" quotePrefix="1" applyNumberFormat="1" applyFont="1" applyFill="1" applyBorder="1" applyAlignment="1">
      <alignment vertical="center"/>
    </xf>
    <xf numFmtId="2" fontId="41" fillId="15" borderId="0" xfId="3" quotePrefix="1" applyNumberFormat="1" applyFont="1" applyFill="1" applyAlignment="1">
      <alignment vertical="center"/>
    </xf>
    <xf numFmtId="3" fontId="41" fillId="15" borderId="15" xfId="3" applyNumberFormat="1" applyFont="1" applyFill="1" applyBorder="1" applyAlignment="1">
      <alignment horizontal="center" vertical="center"/>
    </xf>
    <xf numFmtId="0" fontId="41" fillId="15" borderId="1" xfId="3" applyFont="1" applyFill="1" applyBorder="1" applyAlignment="1">
      <alignment horizontal="center" vertical="center"/>
    </xf>
    <xf numFmtId="2" fontId="41" fillId="15" borderId="3" xfId="3" applyNumberFormat="1" applyFont="1" applyFill="1" applyBorder="1" applyAlignment="1">
      <alignment horizontal="center" vertical="center"/>
    </xf>
    <xf numFmtId="2" fontId="41" fillId="16" borderId="105" xfId="3" applyNumberFormat="1" applyFont="1" applyFill="1" applyBorder="1" applyAlignment="1">
      <alignment horizontal="center" vertical="center"/>
    </xf>
    <xf numFmtId="0" fontId="48" fillId="15" borderId="8" xfId="3" applyFont="1" applyFill="1" applyBorder="1" applyAlignment="1">
      <alignment vertical="center"/>
    </xf>
    <xf numFmtId="0" fontId="41" fillId="15" borderId="105" xfId="3" applyFont="1" applyFill="1" applyBorder="1" applyAlignment="1">
      <alignment vertical="center"/>
    </xf>
    <xf numFmtId="179" fontId="41" fillId="15" borderId="8" xfId="3" applyNumberFormat="1" applyFont="1" applyFill="1" applyBorder="1" applyAlignment="1">
      <alignment horizontal="left" vertical="center"/>
    </xf>
    <xf numFmtId="179" fontId="41" fillId="15" borderId="0" xfId="3" applyNumberFormat="1" applyFont="1" applyFill="1" applyAlignment="1">
      <alignment horizontal="left" vertical="center"/>
    </xf>
    <xf numFmtId="179" fontId="48" fillId="15" borderId="0" xfId="3" applyNumberFormat="1" applyFont="1" applyFill="1" applyAlignment="1">
      <alignment vertical="center"/>
    </xf>
    <xf numFmtId="179" fontId="41" fillId="15" borderId="8" xfId="3" applyNumberFormat="1" applyFont="1" applyFill="1" applyBorder="1" applyAlignment="1">
      <alignment vertical="center"/>
    </xf>
    <xf numFmtId="179" fontId="41" fillId="15" borderId="0" xfId="3" applyNumberFormat="1" applyFont="1" applyFill="1" applyAlignment="1">
      <alignment vertical="center"/>
    </xf>
    <xf numFmtId="49" fontId="41" fillId="15" borderId="103" xfId="3" applyNumberFormat="1" applyFont="1" applyFill="1" applyBorder="1" applyAlignment="1">
      <alignment horizontal="left" vertical="center"/>
    </xf>
    <xf numFmtId="12" fontId="41" fillId="15" borderId="0" xfId="3" applyNumberFormat="1" applyFont="1" applyFill="1" applyAlignment="1">
      <alignment horizontal="center" vertical="center"/>
    </xf>
    <xf numFmtId="2" fontId="41" fillId="16" borderId="0" xfId="3" applyNumberFormat="1" applyFont="1" applyFill="1" applyAlignment="1">
      <alignment horizontal="center" vertical="center"/>
    </xf>
    <xf numFmtId="0" fontId="41" fillId="15" borderId="106" xfId="3" applyFont="1" applyFill="1" applyBorder="1" applyAlignment="1">
      <alignment vertical="center"/>
    </xf>
    <xf numFmtId="0" fontId="41" fillId="15" borderId="14" xfId="3" applyFont="1" applyFill="1" applyBorder="1" applyAlignment="1">
      <alignment horizontal="center" vertical="center"/>
    </xf>
    <xf numFmtId="0" fontId="41" fillId="15" borderId="10" xfId="3" applyFont="1" applyFill="1" applyBorder="1" applyAlignment="1">
      <alignment horizontal="left" vertical="center"/>
    </xf>
    <xf numFmtId="0" fontId="41" fillId="15" borderId="11" xfId="3" applyFont="1" applyFill="1" applyBorder="1" applyAlignment="1">
      <alignment horizontal="left" vertical="center"/>
    </xf>
    <xf numFmtId="2" fontId="48" fillId="15" borderId="10" xfId="3" applyNumberFormat="1" applyFont="1" applyFill="1" applyBorder="1" applyAlignment="1">
      <alignment horizontal="center" vertical="center"/>
    </xf>
    <xf numFmtId="2" fontId="41" fillId="15" borderId="12" xfId="3" applyNumberFormat="1" applyFont="1" applyFill="1" applyBorder="1" applyAlignment="1">
      <alignment vertical="center"/>
    </xf>
    <xf numFmtId="0" fontId="41" fillId="15" borderId="14" xfId="3" applyFont="1" applyFill="1" applyBorder="1" applyAlignment="1">
      <alignment vertical="center"/>
    </xf>
    <xf numFmtId="2" fontId="41" fillId="15" borderId="11" xfId="3" applyNumberFormat="1" applyFont="1" applyFill="1" applyBorder="1" applyAlignment="1">
      <alignment horizontal="center" vertical="center"/>
    </xf>
    <xf numFmtId="2" fontId="41" fillId="15" borderId="107" xfId="3" applyNumberFormat="1" applyFont="1" applyFill="1" applyBorder="1" applyAlignment="1">
      <alignment horizontal="center" vertical="center"/>
    </xf>
    <xf numFmtId="0" fontId="101" fillId="15" borderId="13" xfId="3" applyFont="1" applyFill="1" applyBorder="1" applyAlignment="1">
      <alignment horizontal="center" vertical="center"/>
    </xf>
    <xf numFmtId="2" fontId="101" fillId="15" borderId="60" xfId="3" applyNumberFormat="1" applyFont="1" applyFill="1" applyBorder="1" applyAlignment="1">
      <alignment horizontal="center" vertical="center"/>
    </xf>
    <xf numFmtId="0" fontId="41" fillId="15" borderId="74" xfId="3" applyFont="1" applyFill="1" applyBorder="1" applyAlignment="1">
      <alignment vertical="center"/>
    </xf>
    <xf numFmtId="0" fontId="41" fillId="15" borderId="29" xfId="3" applyFont="1" applyFill="1" applyBorder="1" applyAlignment="1">
      <alignment horizontal="center" vertical="center"/>
    </xf>
    <xf numFmtId="0" fontId="41" fillId="15" borderId="29" xfId="3" applyFont="1" applyFill="1" applyBorder="1" applyAlignment="1">
      <alignment vertical="center"/>
    </xf>
    <xf numFmtId="2" fontId="48" fillId="15" borderId="29" xfId="3" applyNumberFormat="1" applyFont="1" applyFill="1" applyBorder="1" applyAlignment="1">
      <alignment horizontal="center" vertical="center"/>
    </xf>
    <xf numFmtId="0" fontId="101" fillId="15" borderId="20" xfId="3" applyFont="1" applyFill="1" applyBorder="1" applyAlignment="1">
      <alignment horizontal="center" vertical="center"/>
    </xf>
    <xf numFmtId="2" fontId="101" fillId="15" borderId="61" xfId="3" applyNumberFormat="1" applyFont="1" applyFill="1" applyBorder="1" applyAlignment="1">
      <alignment horizontal="center" vertical="center"/>
    </xf>
    <xf numFmtId="0" fontId="48" fillId="15" borderId="109" xfId="3" applyFont="1" applyFill="1" applyBorder="1" applyAlignment="1">
      <alignment horizontal="center" vertical="center"/>
    </xf>
    <xf numFmtId="0" fontId="48" fillId="15" borderId="0" xfId="3" applyFont="1" applyFill="1" applyAlignment="1">
      <alignment horizontal="left" vertical="center"/>
    </xf>
    <xf numFmtId="17" fontId="41" fillId="15" borderId="0" xfId="3" quotePrefix="1" applyNumberFormat="1" applyFont="1" applyFill="1" applyAlignment="1">
      <alignment vertical="center"/>
    </xf>
    <xf numFmtId="0" fontId="110" fillId="3" borderId="1" xfId="0" applyFont="1" applyFill="1" applyBorder="1" applyAlignment="1">
      <alignment horizontal="center" vertical="center" wrapText="1"/>
    </xf>
    <xf numFmtId="0" fontId="0" fillId="3" borderId="0" xfId="0" applyFill="1" applyAlignment="1">
      <alignment horizontal="center"/>
    </xf>
    <xf numFmtId="0" fontId="0" fillId="3" borderId="1" xfId="0" applyFill="1" applyBorder="1" applyAlignment="1">
      <alignment horizontal="center" vertical="center"/>
    </xf>
    <xf numFmtId="0" fontId="0" fillId="3" borderId="116" xfId="0" applyFill="1" applyBorder="1" applyAlignment="1">
      <alignment horizontal="center"/>
    </xf>
    <xf numFmtId="0" fontId="0" fillId="4" borderId="116" xfId="0" applyFill="1" applyBorder="1" applyAlignment="1">
      <alignment horizontal="center"/>
    </xf>
    <xf numFmtId="0" fontId="0" fillId="3" borderId="14" xfId="0" applyFill="1" applyBorder="1" applyAlignment="1">
      <alignment horizontal="center" vertical="center"/>
    </xf>
    <xf numFmtId="44" fontId="114" fillId="4" borderId="0" xfId="14" applyFont="1" applyFill="1" applyBorder="1" applyAlignment="1"/>
    <xf numFmtId="44" fontId="115" fillId="3" borderId="0" xfId="14" applyFont="1" applyFill="1" applyBorder="1" applyAlignment="1"/>
    <xf numFmtId="0" fontId="2" fillId="3" borderId="1" xfId="0" applyFont="1" applyFill="1" applyBorder="1" applyAlignment="1">
      <alignment horizontal="center" vertical="center" wrapText="1"/>
    </xf>
    <xf numFmtId="0" fontId="116" fillId="0" borderId="1" xfId="0" applyFont="1" applyBorder="1" applyAlignment="1">
      <alignment horizontal="center" vertical="center"/>
    </xf>
    <xf numFmtId="1" fontId="117" fillId="0" borderId="1" xfId="0" applyNumberFormat="1" applyFont="1" applyBorder="1" applyAlignment="1">
      <alignment horizontal="center" vertical="center"/>
    </xf>
    <xf numFmtId="1" fontId="13" fillId="0" borderId="1" xfId="0" applyNumberFormat="1" applyFont="1" applyBorder="1" applyAlignment="1">
      <alignment horizontal="center" vertical="center"/>
    </xf>
    <xf numFmtId="1" fontId="13" fillId="3" borderId="1" xfId="0" applyNumberFormat="1" applyFont="1" applyFill="1" applyBorder="1" applyAlignment="1">
      <alignment horizontal="center" vertical="center"/>
    </xf>
    <xf numFmtId="0" fontId="13" fillId="3" borderId="1" xfId="0" applyFont="1" applyFill="1" applyBorder="1" applyAlignment="1">
      <alignment horizontal="center" vertical="center"/>
    </xf>
    <xf numFmtId="1" fontId="13" fillId="3" borderId="1" xfId="0" applyNumberFormat="1" applyFont="1" applyFill="1" applyBorder="1" applyAlignment="1">
      <alignment vertical="center"/>
    </xf>
    <xf numFmtId="1" fontId="13" fillId="3" borderId="1" xfId="0" applyNumberFormat="1" applyFont="1" applyFill="1" applyBorder="1"/>
    <xf numFmtId="0" fontId="2" fillId="3" borderId="0" xfId="0" applyFont="1" applyFill="1" applyAlignment="1">
      <alignment horizontal="center" vertical="center"/>
    </xf>
    <xf numFmtId="0" fontId="13" fillId="3" borderId="1" xfId="0" applyFont="1" applyFill="1" applyBorder="1" applyAlignment="1">
      <alignment horizontal="center" vertical="center" wrapText="1"/>
    </xf>
    <xf numFmtId="0" fontId="93" fillId="0" borderId="28" xfId="13" applyFont="1" applyBorder="1" applyAlignment="1">
      <alignment horizontal="center" vertical="center"/>
    </xf>
    <xf numFmtId="0" fontId="93" fillId="0" borderId="0" xfId="13" applyFont="1" applyBorder="1" applyAlignment="1">
      <alignment horizontal="center" vertical="center"/>
    </xf>
    <xf numFmtId="0" fontId="93" fillId="0" borderId="9" xfId="13" applyFont="1" applyBorder="1" applyAlignment="1">
      <alignment horizontal="center" vertical="center"/>
    </xf>
    <xf numFmtId="0" fontId="93" fillId="0" borderId="8" xfId="13" applyFont="1" applyBorder="1" applyAlignment="1">
      <alignment horizontal="center" vertical="center" wrapText="1"/>
    </xf>
    <xf numFmtId="0" fontId="94" fillId="0" borderId="0" xfId="13" applyFont="1" applyAlignment="1">
      <alignment horizontal="center" vertical="center" wrapText="1"/>
    </xf>
    <xf numFmtId="0" fontId="94" fillId="0" borderId="9" xfId="13" applyFont="1" applyBorder="1" applyAlignment="1">
      <alignment horizontal="center" vertical="center" wrapText="1"/>
    </xf>
    <xf numFmtId="0" fontId="94" fillId="0" borderId="86" xfId="13" applyFont="1" applyBorder="1" applyAlignment="1">
      <alignment horizontal="center" vertical="center" wrapText="1"/>
    </xf>
    <xf numFmtId="0" fontId="94" fillId="0" borderId="29" xfId="13" applyFont="1" applyBorder="1" applyAlignment="1">
      <alignment horizontal="center" vertical="center" wrapText="1"/>
    </xf>
    <xf numFmtId="0" fontId="94" fillId="0" borderId="83" xfId="13" applyFont="1" applyBorder="1" applyAlignment="1">
      <alignment horizontal="center" vertical="center" wrapText="1"/>
    </xf>
    <xf numFmtId="0" fontId="51" fillId="0" borderId="8" xfId="13" applyFont="1" applyBorder="1" applyAlignment="1">
      <alignment horizontal="center" vertical="center"/>
    </xf>
    <xf numFmtId="0" fontId="51" fillId="0" borderId="9" xfId="13" applyFont="1" applyBorder="1" applyAlignment="1">
      <alignment horizontal="center" vertical="center"/>
    </xf>
    <xf numFmtId="177" fontId="51" fillId="0" borderId="8" xfId="13" applyNumberFormat="1" applyFont="1" applyBorder="1" applyAlignment="1" applyProtection="1">
      <alignment horizontal="center" vertical="center" wrapText="1"/>
      <protection locked="0"/>
    </xf>
    <xf numFmtId="177" fontId="51" fillId="0" borderId="18" xfId="13" applyNumberFormat="1" applyFont="1" applyBorder="1" applyAlignment="1" applyProtection="1">
      <alignment horizontal="center" vertical="center" wrapText="1"/>
      <protection locked="0"/>
    </xf>
    <xf numFmtId="177" fontId="51" fillId="0" borderId="86" xfId="13" applyNumberFormat="1" applyFont="1" applyBorder="1" applyAlignment="1" applyProtection="1">
      <alignment horizontal="center" vertical="center" wrapText="1"/>
      <protection locked="0"/>
    </xf>
    <xf numFmtId="177" fontId="51" fillId="0" borderId="19" xfId="13" applyNumberFormat="1" applyFont="1" applyBorder="1" applyAlignment="1" applyProtection="1">
      <alignment horizontal="center" vertical="center" wrapText="1"/>
      <protection locked="0"/>
    </xf>
    <xf numFmtId="0" fontId="93" fillId="0" borderId="82" xfId="13" applyFont="1" applyBorder="1" applyAlignment="1">
      <alignment horizontal="center" vertical="center"/>
    </xf>
    <xf numFmtId="0" fontId="93" fillId="0" borderId="29" xfId="13" applyFont="1" applyBorder="1" applyAlignment="1">
      <alignment horizontal="center" vertical="center"/>
    </xf>
    <xf numFmtId="0" fontId="93" fillId="0" borderId="83" xfId="13" applyFont="1" applyBorder="1" applyAlignment="1">
      <alignment horizontal="center" vertical="center"/>
    </xf>
    <xf numFmtId="0" fontId="51" fillId="0" borderId="86" xfId="13" applyFont="1" applyBorder="1" applyAlignment="1">
      <alignment horizontal="center" vertical="center"/>
    </xf>
    <xf numFmtId="0" fontId="51" fillId="0" borderId="83" xfId="13" applyFont="1" applyBorder="1" applyAlignment="1">
      <alignment horizontal="center" vertical="center"/>
    </xf>
    <xf numFmtId="0" fontId="51" fillId="0" borderId="44" xfId="13" applyFont="1" applyFill="1" applyBorder="1" applyAlignment="1">
      <alignment vertical="center"/>
    </xf>
    <xf numFmtId="0" fontId="26" fillId="0" borderId="6" xfId="13" applyBorder="1" applyAlignment="1">
      <alignment vertical="center"/>
    </xf>
    <xf numFmtId="0" fontId="26" fillId="0" borderId="7" xfId="13" applyBorder="1" applyAlignment="1">
      <alignment vertical="center"/>
    </xf>
    <xf numFmtId="0" fontId="26" fillId="0" borderId="46" xfId="13" applyBorder="1" applyAlignment="1">
      <alignment vertical="center"/>
    </xf>
    <xf numFmtId="0" fontId="26" fillId="0" borderId="11" xfId="13" applyBorder="1" applyAlignment="1">
      <alignment vertical="center"/>
    </xf>
    <xf numFmtId="0" fontId="26" fillId="0" borderId="12" xfId="13" applyBorder="1" applyAlignment="1">
      <alignment vertical="center"/>
    </xf>
    <xf numFmtId="0" fontId="51" fillId="0" borderId="5" xfId="13" applyFont="1" applyFill="1" applyBorder="1" applyAlignment="1">
      <alignment horizontal="center" vertical="center" wrapText="1"/>
    </xf>
    <xf numFmtId="0" fontId="26" fillId="0" borderId="6" xfId="13" applyFont="1" applyBorder="1" applyAlignment="1">
      <alignment horizontal="center" vertical="center" wrapText="1"/>
    </xf>
    <xf numFmtId="0" fontId="26" fillId="0" borderId="0" xfId="13" applyFont="1" applyBorder="1" applyAlignment="1">
      <alignment horizontal="center" vertical="center" wrapText="1"/>
    </xf>
    <xf numFmtId="0" fontId="26" fillId="0" borderId="18" xfId="13" applyFont="1" applyBorder="1" applyAlignment="1">
      <alignment horizontal="center" vertical="center" wrapText="1"/>
    </xf>
    <xf numFmtId="0" fontId="26" fillId="0" borderId="10" xfId="13" applyFont="1" applyBorder="1" applyAlignment="1">
      <alignment horizontal="center" vertical="center" wrapText="1"/>
    </xf>
    <xf numFmtId="0" fontId="26" fillId="0" borderId="11" xfId="13" applyFont="1" applyBorder="1" applyAlignment="1">
      <alignment horizontal="center" vertical="center" wrapText="1"/>
    </xf>
    <xf numFmtId="0" fontId="26" fillId="0" borderId="95" xfId="13" applyFont="1" applyBorder="1" applyAlignment="1">
      <alignment horizontal="center" vertical="center" wrapText="1"/>
    </xf>
    <xf numFmtId="0" fontId="51" fillId="0" borderId="2" xfId="13" applyFont="1" applyFill="1" applyBorder="1" applyAlignment="1">
      <alignment horizontal="center" vertical="center"/>
    </xf>
    <xf numFmtId="0" fontId="51" fillId="0" borderId="3" xfId="13" applyFont="1" applyFill="1" applyBorder="1" applyAlignment="1">
      <alignment horizontal="center" vertical="center"/>
    </xf>
    <xf numFmtId="0" fontId="51" fillId="0" borderId="4" xfId="13" applyFont="1" applyFill="1" applyBorder="1" applyAlignment="1">
      <alignment horizontal="center" vertical="center"/>
    </xf>
    <xf numFmtId="0" fontId="51" fillId="0" borderId="6" xfId="13" applyFont="1" applyBorder="1" applyAlignment="1">
      <alignment horizontal="right" vertical="center"/>
    </xf>
    <xf numFmtId="0" fontId="51" fillId="0" borderId="24" xfId="13" applyFont="1" applyBorder="1" applyAlignment="1">
      <alignment horizontal="center"/>
    </xf>
    <xf numFmtId="0" fontId="51" fillId="0" borderId="25" xfId="13" applyFont="1" applyBorder="1" applyAlignment="1">
      <alignment horizontal="center"/>
    </xf>
    <xf numFmtId="0" fontId="51" fillId="0" borderId="77" xfId="13" applyFont="1" applyBorder="1" applyAlignment="1">
      <alignment horizontal="center" vertical="top"/>
    </xf>
    <xf numFmtId="0" fontId="51" fillId="0" borderId="25" xfId="13" applyFont="1" applyBorder="1" applyAlignment="1">
      <alignment horizontal="center" vertical="top"/>
    </xf>
    <xf numFmtId="0" fontId="51" fillId="0" borderId="78" xfId="13" applyFont="1" applyBorder="1" applyAlignment="1">
      <alignment horizontal="center" vertical="top"/>
    </xf>
    <xf numFmtId="0" fontId="51" fillId="0" borderId="77" xfId="13" applyFont="1" applyBorder="1" applyAlignment="1">
      <alignment horizontal="center"/>
    </xf>
    <xf numFmtId="0" fontId="51" fillId="0" borderId="78" xfId="13" applyFont="1" applyBorder="1" applyAlignment="1">
      <alignment horizontal="center"/>
    </xf>
    <xf numFmtId="0" fontId="51" fillId="0" borderId="10" xfId="13" applyFont="1" applyBorder="1" applyAlignment="1">
      <alignment horizontal="center" vertical="center"/>
    </xf>
    <xf numFmtId="0" fontId="51" fillId="0" borderId="95" xfId="13" applyFont="1" applyBorder="1" applyAlignment="1">
      <alignment horizontal="center" vertical="center"/>
    </xf>
    <xf numFmtId="0" fontId="51" fillId="0" borderId="5" xfId="13" applyFont="1" applyBorder="1" applyAlignment="1">
      <alignment horizontal="center" vertical="center"/>
    </xf>
    <xf numFmtId="0" fontId="51" fillId="0" borderId="6" xfId="13" applyFont="1" applyBorder="1" applyAlignment="1">
      <alignment horizontal="center" vertical="center"/>
    </xf>
    <xf numFmtId="0" fontId="51" fillId="0" borderId="7" xfId="13" applyFont="1" applyBorder="1" applyAlignment="1">
      <alignment horizontal="center" vertical="center"/>
    </xf>
    <xf numFmtId="0" fontId="51" fillId="0" borderId="11" xfId="13" applyFont="1" applyBorder="1" applyAlignment="1">
      <alignment horizontal="center" vertical="center"/>
    </xf>
    <xf numFmtId="0" fontId="51" fillId="0" borderId="12" xfId="13" applyFont="1" applyBorder="1" applyAlignment="1">
      <alignment horizontal="center" vertical="center"/>
    </xf>
    <xf numFmtId="0" fontId="51" fillId="0" borderId="8" xfId="13" applyFont="1" applyFill="1" applyBorder="1" applyAlignment="1">
      <alignment horizontal="center" vertical="center"/>
    </xf>
    <xf numFmtId="0" fontId="51" fillId="0" borderId="9" xfId="13" applyFont="1" applyFill="1" applyBorder="1" applyAlignment="1">
      <alignment horizontal="center" vertical="center"/>
    </xf>
    <xf numFmtId="0" fontId="51" fillId="0" borderId="18" xfId="13" applyFont="1" applyBorder="1" applyAlignment="1">
      <alignment horizontal="center" vertical="center"/>
    </xf>
    <xf numFmtId="0" fontId="51" fillId="0" borderId="44" xfId="13" applyFont="1" applyFill="1" applyBorder="1" applyAlignment="1">
      <alignment horizontal="left" vertical="center"/>
    </xf>
    <xf numFmtId="0" fontId="51" fillId="0" borderId="7" xfId="13" applyFont="1" applyFill="1" applyBorder="1" applyAlignment="1">
      <alignment horizontal="left" vertical="center"/>
    </xf>
    <xf numFmtId="0" fontId="51" fillId="0" borderId="46" xfId="13" applyFont="1" applyFill="1" applyBorder="1" applyAlignment="1">
      <alignment horizontal="left" vertical="center"/>
    </xf>
    <xf numFmtId="0" fontId="51" fillId="0" borderId="12" xfId="13" applyFont="1" applyFill="1" applyBorder="1" applyAlignment="1">
      <alignment horizontal="left" vertical="center"/>
    </xf>
    <xf numFmtId="0" fontId="51" fillId="0" borderId="13" xfId="13" applyFont="1" applyBorder="1" applyAlignment="1">
      <alignment horizontal="center" vertical="center"/>
    </xf>
    <xf numFmtId="0" fontId="51" fillId="0" borderId="14" xfId="13" applyFont="1" applyBorder="1" applyAlignment="1">
      <alignment horizontal="center" vertical="center"/>
    </xf>
    <xf numFmtId="0" fontId="51" fillId="0" borderId="44" xfId="13" applyFont="1" applyFill="1" applyBorder="1" applyAlignment="1">
      <alignment horizontal="left" vertical="center" wrapText="1"/>
    </xf>
    <xf numFmtId="0" fontId="51" fillId="0" borderId="6" xfId="13" applyFont="1" applyFill="1" applyBorder="1" applyAlignment="1">
      <alignment horizontal="left" vertical="center" wrapText="1"/>
    </xf>
    <xf numFmtId="0" fontId="51" fillId="0" borderId="46" xfId="13" applyFont="1" applyFill="1" applyBorder="1" applyAlignment="1">
      <alignment horizontal="left" vertical="center" wrapText="1"/>
    </xf>
    <xf numFmtId="0" fontId="51" fillId="0" borderId="11" xfId="13" applyFont="1" applyFill="1" applyBorder="1" applyAlignment="1">
      <alignment horizontal="left" vertical="center" wrapText="1"/>
    </xf>
    <xf numFmtId="0" fontId="51" fillId="0" borderId="13" xfId="13" applyFont="1" applyFill="1" applyBorder="1" applyAlignment="1">
      <alignment horizontal="center" vertical="center"/>
    </xf>
    <xf numFmtId="0" fontId="51" fillId="0" borderId="14" xfId="13" applyFont="1" applyFill="1" applyBorder="1" applyAlignment="1">
      <alignment horizontal="center" vertical="center"/>
    </xf>
    <xf numFmtId="0" fontId="51" fillId="0" borderId="10" xfId="13" applyFont="1" applyFill="1" applyBorder="1" applyAlignment="1">
      <alignment horizontal="center" vertical="center"/>
    </xf>
    <xf numFmtId="0" fontId="51" fillId="0" borderId="12" xfId="13" applyFont="1" applyFill="1" applyBorder="1" applyAlignment="1">
      <alignment horizontal="center" vertical="center"/>
    </xf>
    <xf numFmtId="0" fontId="51" fillId="0" borderId="45" xfId="13" applyFont="1" applyFill="1" applyBorder="1" applyAlignment="1">
      <alignment horizontal="center" vertical="center"/>
    </xf>
    <xf numFmtId="0" fontId="60" fillId="0" borderId="2" xfId="13" applyFont="1" applyFill="1" applyBorder="1" applyAlignment="1">
      <alignment horizontal="center" vertical="center"/>
    </xf>
    <xf numFmtId="0" fontId="60" fillId="0" borderId="3" xfId="13" applyFont="1" applyFill="1" applyBorder="1" applyAlignment="1">
      <alignment horizontal="center" vertical="center"/>
    </xf>
    <xf numFmtId="0" fontId="60" fillId="0" borderId="50" xfId="13" applyFont="1" applyFill="1" applyBorder="1" applyAlignment="1">
      <alignment horizontal="center" vertical="center"/>
    </xf>
    <xf numFmtId="0" fontId="86" fillId="0" borderId="0" xfId="13" applyFont="1" applyBorder="1" applyAlignment="1">
      <alignment horizontal="center" vertical="center"/>
    </xf>
    <xf numFmtId="0" fontId="51" fillId="0" borderId="28" xfId="13" applyFont="1" applyBorder="1" applyAlignment="1">
      <alignment horizontal="center" vertical="center"/>
    </xf>
    <xf numFmtId="0" fontId="51" fillId="0" borderId="0" xfId="13" applyFont="1" applyBorder="1" applyAlignment="1">
      <alignment horizontal="center" vertical="center"/>
    </xf>
    <xf numFmtId="0" fontId="51" fillId="0" borderId="46" xfId="13" applyFont="1" applyBorder="1" applyAlignment="1">
      <alignment horizontal="center" vertical="center"/>
    </xf>
    <xf numFmtId="0" fontId="51" fillId="0" borderId="15" xfId="13" applyFont="1" applyBorder="1" applyAlignment="1">
      <alignment horizontal="center" vertical="center" wrapText="1"/>
    </xf>
    <xf numFmtId="0" fontId="26" fillId="0" borderId="14" xfId="13" applyFont="1" applyBorder="1" applyAlignment="1">
      <alignment horizontal="center" vertical="center" wrapText="1"/>
    </xf>
    <xf numFmtId="0" fontId="51" fillId="0" borderId="11" xfId="13" applyFont="1" applyFill="1" applyBorder="1" applyAlignment="1">
      <alignment horizontal="center" vertical="center"/>
    </xf>
    <xf numFmtId="0" fontId="51" fillId="0" borderId="11" xfId="13" quotePrefix="1" applyFont="1" applyFill="1" applyBorder="1" applyAlignment="1">
      <alignment horizontal="center" vertical="center"/>
    </xf>
    <xf numFmtId="0" fontId="51" fillId="0" borderId="12" xfId="13" quotePrefix="1" applyFont="1" applyFill="1" applyBorder="1" applyAlignment="1">
      <alignment horizontal="center" vertical="center"/>
    </xf>
    <xf numFmtId="0" fontId="0" fillId="7" borderId="1" xfId="0" applyFill="1" applyBorder="1" applyAlignment="1">
      <alignment horizontal="center"/>
    </xf>
    <xf numFmtId="0" fontId="13" fillId="7" borderId="13"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0" fillId="7" borderId="2" xfId="0" applyFill="1" applyBorder="1" applyAlignment="1">
      <alignment horizontal="center"/>
    </xf>
    <xf numFmtId="0" fontId="0" fillId="7" borderId="3" xfId="0" applyFill="1" applyBorder="1" applyAlignment="1">
      <alignment horizontal="center"/>
    </xf>
    <xf numFmtId="0" fontId="0" fillId="7" borderId="4" xfId="0" applyFill="1" applyBorder="1" applyAlignment="1">
      <alignment horizontal="center"/>
    </xf>
    <xf numFmtId="0" fontId="0" fillId="3" borderId="1" xfId="0" applyFill="1" applyBorder="1" applyAlignment="1">
      <alignment horizontal="left"/>
    </xf>
    <xf numFmtId="0" fontId="0" fillId="0" borderId="1" xfId="0" applyBorder="1" applyAlignment="1"/>
    <xf numFmtId="0" fontId="0" fillId="0" borderId="1" xfId="0" applyFill="1" applyBorder="1" applyAlignment="1"/>
    <xf numFmtId="0" fontId="0" fillId="3" borderId="2" xfId="0" applyFill="1" applyBorder="1" applyAlignment="1"/>
    <xf numFmtId="0" fontId="0" fillId="3" borderId="3" xfId="0" applyFill="1" applyBorder="1" applyAlignment="1"/>
    <xf numFmtId="0" fontId="0" fillId="3" borderId="4" xfId="0" applyFill="1" applyBorder="1" applyAlignment="1"/>
    <xf numFmtId="0" fontId="0" fillId="3" borderId="2" xfId="0" applyFill="1" applyBorder="1" applyAlignment="1">
      <alignment horizontal="left"/>
    </xf>
    <xf numFmtId="0" fontId="0" fillId="3" borderId="3" xfId="0" applyFill="1" applyBorder="1" applyAlignment="1">
      <alignment horizontal="left"/>
    </xf>
    <xf numFmtId="0" fontId="0" fillId="3" borderId="4" xfId="0" applyFill="1" applyBorder="1" applyAlignment="1">
      <alignment horizontal="left"/>
    </xf>
    <xf numFmtId="0" fontId="22" fillId="0" borderId="0" xfId="2" applyFont="1" applyBorder="1" applyAlignment="1">
      <alignment horizontal="center" vertical="center"/>
    </xf>
    <xf numFmtId="0" fontId="31" fillId="16" borderId="13" xfId="2" applyFont="1" applyFill="1" applyBorder="1" applyAlignment="1">
      <alignment horizontal="center" vertical="center" wrapText="1"/>
    </xf>
    <xf numFmtId="0" fontId="22" fillId="16" borderId="14" xfId="2" applyFont="1" applyFill="1" applyBorder="1" applyAlignment="1">
      <alignment horizontal="center" vertical="center" wrapText="1"/>
    </xf>
    <xf numFmtId="0" fontId="30" fillId="16" borderId="11" xfId="2" applyFont="1" applyFill="1" applyBorder="1" applyAlignment="1">
      <alignment horizontal="center" vertical="center"/>
    </xf>
    <xf numFmtId="0" fontId="31" fillId="16" borderId="7" xfId="2" applyFont="1" applyFill="1" applyBorder="1" applyAlignment="1">
      <alignment horizontal="center" vertical="center" wrapText="1"/>
    </xf>
    <xf numFmtId="0" fontId="31" fillId="16" borderId="12" xfId="2" applyFont="1" applyFill="1" applyBorder="1" applyAlignment="1">
      <alignment horizontal="center" vertical="center" wrapText="1"/>
    </xf>
    <xf numFmtId="0" fontId="31" fillId="16" borderId="13" xfId="2" applyFont="1" applyFill="1" applyBorder="1" applyAlignment="1">
      <alignment horizontal="center" vertical="center"/>
    </xf>
    <xf numFmtId="0" fontId="31" fillId="16" borderId="14" xfId="2" applyFont="1" applyFill="1" applyBorder="1" applyAlignment="1">
      <alignment horizontal="center" vertical="center"/>
    </xf>
    <xf numFmtId="0" fontId="31" fillId="16" borderId="5" xfId="2" applyFont="1" applyFill="1" applyBorder="1" applyAlignment="1">
      <alignment horizontal="center" vertical="center" wrapText="1"/>
    </xf>
    <xf numFmtId="0" fontId="31" fillId="16" borderId="10" xfId="2" applyFont="1" applyFill="1" applyBorder="1" applyAlignment="1">
      <alignment horizontal="center" vertical="center" wrapText="1"/>
    </xf>
    <xf numFmtId="0" fontId="31" fillId="0" borderId="2" xfId="2" applyFont="1" applyFill="1" applyBorder="1" applyAlignment="1">
      <alignment horizontal="center" vertical="center"/>
    </xf>
    <xf numFmtId="0" fontId="31" fillId="0" borderId="4" xfId="2" applyFont="1" applyFill="1" applyBorder="1" applyAlignment="1">
      <alignment horizontal="center" vertical="center"/>
    </xf>
    <xf numFmtId="0" fontId="23" fillId="3" borderId="5" xfId="2" applyFont="1" applyFill="1" applyBorder="1" applyAlignment="1">
      <alignment horizontal="center" vertical="center"/>
    </xf>
    <xf numFmtId="0" fontId="23" fillId="3" borderId="6" xfId="2" applyFont="1" applyFill="1" applyBorder="1" applyAlignment="1">
      <alignment horizontal="center" vertical="center"/>
    </xf>
    <xf numFmtId="0" fontId="23" fillId="3" borderId="7" xfId="2" applyFont="1" applyFill="1" applyBorder="1" applyAlignment="1">
      <alignment horizontal="center" vertical="center"/>
    </xf>
    <xf numFmtId="0" fontId="23" fillId="3" borderId="8" xfId="2" applyFont="1" applyFill="1" applyBorder="1" applyAlignment="1">
      <alignment horizontal="center" vertical="center"/>
    </xf>
    <xf numFmtId="0" fontId="23" fillId="3" borderId="0" xfId="2" applyFont="1" applyFill="1" applyBorder="1" applyAlignment="1">
      <alignment horizontal="center" vertical="center"/>
    </xf>
    <xf numFmtId="0" fontId="23" fillId="3" borderId="9" xfId="2" applyFont="1" applyFill="1" applyBorder="1" applyAlignment="1">
      <alignment horizontal="center" vertical="center"/>
    </xf>
    <xf numFmtId="0" fontId="23" fillId="3" borderId="10" xfId="2" applyFont="1" applyFill="1" applyBorder="1" applyAlignment="1">
      <alignment horizontal="center" vertical="center"/>
    </xf>
    <xf numFmtId="0" fontId="23" fillId="3" borderId="11" xfId="2" applyFont="1" applyFill="1" applyBorder="1" applyAlignment="1">
      <alignment horizontal="center" vertical="center"/>
    </xf>
    <xf numFmtId="0" fontId="23" fillId="3" borderId="12" xfId="2" applyFont="1" applyFill="1" applyBorder="1" applyAlignment="1">
      <alignment horizontal="center" vertical="center"/>
    </xf>
    <xf numFmtId="0" fontId="20" fillId="0" borderId="25" xfId="2" applyFont="1" applyBorder="1" applyAlignment="1">
      <alignment horizontal="center" vertical="center"/>
    </xf>
    <xf numFmtId="0" fontId="20" fillId="0" borderId="0" xfId="2" applyFont="1" applyBorder="1" applyAlignment="1">
      <alignment horizontal="center" vertical="center"/>
    </xf>
    <xf numFmtId="0" fontId="20" fillId="0" borderId="11" xfId="2" applyFont="1" applyBorder="1" applyAlignment="1">
      <alignment horizontal="center" vertical="center"/>
    </xf>
    <xf numFmtId="0" fontId="34" fillId="18" borderId="3" xfId="2" applyFont="1" applyFill="1" applyBorder="1" applyAlignment="1">
      <alignment horizontal="left" vertical="center" wrapText="1"/>
    </xf>
    <xf numFmtId="0" fontId="34" fillId="18" borderId="3" xfId="2" applyFont="1" applyFill="1" applyBorder="1" applyAlignment="1">
      <alignment horizontal="left"/>
    </xf>
    <xf numFmtId="0" fontId="22" fillId="16" borderId="10" xfId="2" applyFont="1" applyFill="1" applyBorder="1" applyAlignment="1">
      <alignment horizontal="center" vertical="center" wrapText="1"/>
    </xf>
    <xf numFmtId="168" fontId="32" fillId="0" borderId="2" xfId="2" applyNumberFormat="1" applyFont="1" applyFill="1" applyBorder="1" applyAlignment="1">
      <alignment horizontal="center" vertical="center"/>
    </xf>
    <xf numFmtId="168" fontId="32" fillId="0" borderId="4" xfId="2" applyNumberFormat="1" applyFont="1" applyFill="1" applyBorder="1" applyAlignment="1">
      <alignment horizontal="center" vertical="center"/>
    </xf>
    <xf numFmtId="0" fontId="25" fillId="15" borderId="0" xfId="3" applyFont="1" applyFill="1" applyAlignment="1">
      <alignment horizontal="left" vertical="center"/>
    </xf>
    <xf numFmtId="0" fontId="25" fillId="15" borderId="0" xfId="3" applyFont="1" applyFill="1" applyAlignment="1">
      <alignment vertical="center"/>
    </xf>
    <xf numFmtId="0" fontId="39" fillId="15" borderId="0" xfId="3" applyFont="1" applyFill="1" applyAlignment="1">
      <alignment vertical="center"/>
    </xf>
    <xf numFmtId="0" fontId="18" fillId="15" borderId="0" xfId="3" applyFont="1" applyFill="1" applyBorder="1" applyAlignment="1">
      <alignment horizontal="center" vertical="center"/>
    </xf>
    <xf numFmtId="0" fontId="17" fillId="11" borderId="0" xfId="0" applyFont="1" applyFill="1" applyBorder="1" applyAlignment="1">
      <alignment horizontal="center" vertic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applyFill="1" applyBorder="1" applyAlignment="1">
      <alignment horizontal="center"/>
    </xf>
    <xf numFmtId="0" fontId="0" fillId="9" borderId="1" xfId="0" applyFill="1" applyBorder="1" applyAlignment="1">
      <alignment horizontal="center"/>
    </xf>
    <xf numFmtId="0" fontId="0" fillId="26" borderId="1" xfId="0" applyFill="1" applyBorder="1" applyAlignment="1">
      <alignment horizontal="left" vertical="top" wrapText="1"/>
    </xf>
    <xf numFmtId="0" fontId="2" fillId="7" borderId="31" xfId="0" applyFont="1" applyFill="1" applyBorder="1" applyAlignment="1">
      <alignment horizontal="center"/>
    </xf>
    <xf numFmtId="0" fontId="2" fillId="7" borderId="21" xfId="0" applyFont="1" applyFill="1" applyBorder="1" applyAlignment="1">
      <alignment horizontal="center"/>
    </xf>
    <xf numFmtId="0" fontId="2" fillId="7" borderId="32" xfId="0" applyFont="1" applyFill="1" applyBorder="1" applyAlignment="1">
      <alignment horizontal="center"/>
    </xf>
    <xf numFmtId="0" fontId="2" fillId="7" borderId="1" xfId="0" applyFont="1" applyFill="1" applyBorder="1" applyAlignment="1">
      <alignment horizontal="center"/>
    </xf>
    <xf numFmtId="0" fontId="2" fillId="7" borderId="54" xfId="0" applyFont="1" applyFill="1" applyBorder="1" applyAlignment="1">
      <alignment horizontal="center"/>
    </xf>
    <xf numFmtId="0" fontId="2" fillId="7" borderId="55" xfId="0" applyFont="1" applyFill="1" applyBorder="1" applyAlignment="1">
      <alignment horizontal="center"/>
    </xf>
    <xf numFmtId="0" fontId="0" fillId="5" borderId="1" xfId="0" applyFill="1" applyBorder="1" applyAlignment="1">
      <alignment horizontal="center"/>
    </xf>
    <xf numFmtId="0" fontId="0" fillId="5" borderId="3" xfId="0" applyFill="1" applyBorder="1" applyAlignment="1">
      <alignment horizontal="center"/>
    </xf>
    <xf numFmtId="0" fontId="0" fillId="5" borderId="2" xfId="0" applyFill="1" applyBorder="1" applyAlignment="1">
      <alignment horizontal="center"/>
    </xf>
    <xf numFmtId="0" fontId="0" fillId="5" borderId="4" xfId="0" applyFill="1" applyBorder="1" applyAlignment="1">
      <alignment horizontal="center"/>
    </xf>
    <xf numFmtId="0" fontId="97" fillId="0" borderId="0" xfId="0" applyFont="1" applyAlignment="1">
      <alignment horizontal="center" vertical="center"/>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xf>
    <xf numFmtId="0" fontId="9" fillId="0" borderId="1" xfId="0" applyFont="1" applyBorder="1" applyAlignment="1">
      <alignment horizontal="center" vertical="center"/>
    </xf>
    <xf numFmtId="0" fontId="9" fillId="0" borderId="13"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4" xfId="0" applyFont="1" applyFill="1" applyBorder="1" applyAlignment="1">
      <alignment horizontal="center" vertical="center"/>
    </xf>
    <xf numFmtId="0" fontId="26" fillId="15" borderId="11" xfId="8" applyFont="1" applyFill="1" applyBorder="1" applyAlignment="1">
      <alignment horizontal="left"/>
    </xf>
    <xf numFmtId="0" fontId="26" fillId="15" borderId="11" xfId="8" applyFill="1" applyBorder="1" applyAlignment="1">
      <alignment horizontal="left"/>
    </xf>
    <xf numFmtId="15" fontId="51" fillId="16" borderId="11" xfId="8" applyNumberFormat="1" applyFont="1" applyFill="1" applyBorder="1" applyAlignment="1">
      <alignment horizontal="left"/>
    </xf>
    <xf numFmtId="0" fontId="51" fillId="16" borderId="11" xfId="8" quotePrefix="1" applyFont="1" applyFill="1" applyBorder="1" applyAlignment="1">
      <alignment horizontal="left"/>
    </xf>
    <xf numFmtId="0" fontId="47" fillId="0" borderId="72" xfId="7" applyFont="1" applyBorder="1" applyAlignment="1">
      <alignment horizontal="center" vertical="center"/>
    </xf>
    <xf numFmtId="0" fontId="47" fillId="0" borderId="27" xfId="7" applyFont="1" applyBorder="1" applyAlignment="1">
      <alignment horizontal="center" vertical="center"/>
    </xf>
    <xf numFmtId="0" fontId="47" fillId="0" borderId="73" xfId="7" applyFont="1" applyBorder="1" applyAlignment="1">
      <alignment horizontal="center" vertical="center"/>
    </xf>
    <xf numFmtId="0" fontId="47" fillId="0" borderId="59" xfId="7" applyFont="1" applyBorder="1" applyAlignment="1">
      <alignment horizontal="center" vertical="center"/>
    </xf>
    <xf numFmtId="0" fontId="47" fillId="0" borderId="0" xfId="7" applyFont="1" applyBorder="1" applyAlignment="1">
      <alignment horizontal="center" vertical="center"/>
    </xf>
    <xf numFmtId="0" fontId="47" fillId="0" borderId="60" xfId="7" applyFont="1" applyBorder="1" applyAlignment="1">
      <alignment horizontal="center" vertical="center"/>
    </xf>
    <xf numFmtId="0" fontId="47" fillId="0" borderId="74" xfId="7" applyFont="1" applyBorder="1" applyAlignment="1">
      <alignment horizontal="center" vertical="center"/>
    </xf>
    <xf numFmtId="0" fontId="47" fillId="0" borderId="29" xfId="7" applyFont="1" applyBorder="1" applyAlignment="1">
      <alignment horizontal="center" vertical="center"/>
    </xf>
    <xf numFmtId="0" fontId="47" fillId="0" borderId="61" xfId="7" applyFont="1" applyBorder="1" applyAlignment="1">
      <alignment horizontal="center" vertical="center"/>
    </xf>
    <xf numFmtId="0" fontId="60" fillId="0" borderId="0" xfId="8" applyFont="1" applyFill="1" applyBorder="1" applyAlignment="1">
      <alignment horizontal="left"/>
    </xf>
    <xf numFmtId="0" fontId="51" fillId="15" borderId="0" xfId="8" applyFont="1" applyFill="1" applyBorder="1" applyAlignment="1">
      <alignment horizontal="left"/>
    </xf>
    <xf numFmtId="15" fontId="51" fillId="0" borderId="0" xfId="8" applyNumberFormat="1" applyFont="1" applyFill="1" applyBorder="1" applyAlignment="1">
      <alignment horizontal="right"/>
    </xf>
    <xf numFmtId="0" fontId="51" fillId="0" borderId="0" xfId="8" quotePrefix="1" applyFont="1" applyFill="1" applyBorder="1" applyAlignment="1">
      <alignment horizontal="right"/>
    </xf>
    <xf numFmtId="0" fontId="51" fillId="0" borderId="0" xfId="8" applyFont="1" applyFill="1" applyBorder="1" applyAlignment="1">
      <alignment horizontal="center"/>
    </xf>
    <xf numFmtId="0" fontId="26" fillId="15" borderId="0" xfId="8" applyFill="1" applyBorder="1" applyAlignment="1">
      <alignment horizontal="left"/>
    </xf>
    <xf numFmtId="0" fontId="26" fillId="16" borderId="11" xfId="8" applyFill="1" applyBorder="1" applyAlignment="1">
      <alignment horizontal="center"/>
    </xf>
    <xf numFmtId="2" fontId="55" fillId="15" borderId="1" xfId="8" applyNumberFormat="1" applyFont="1" applyFill="1" applyBorder="1" applyAlignment="1">
      <alignment horizontal="center"/>
    </xf>
    <xf numFmtId="2" fontId="55" fillId="15" borderId="15" xfId="8" applyNumberFormat="1" applyFont="1" applyFill="1" applyBorder="1" applyAlignment="1">
      <alignment horizontal="center"/>
    </xf>
    <xf numFmtId="2" fontId="55" fillId="15" borderId="8" xfId="8" applyNumberFormat="1" applyFont="1" applyFill="1" applyBorder="1" applyAlignment="1">
      <alignment horizontal="center"/>
    </xf>
    <xf numFmtId="0" fontId="26" fillId="15" borderId="0" xfId="8" applyFill="1" applyBorder="1" applyAlignment="1">
      <alignment horizontal="right"/>
    </xf>
    <xf numFmtId="0" fontId="26" fillId="15" borderId="9" xfId="8" applyFill="1" applyBorder="1" applyAlignment="1">
      <alignment horizontal="right"/>
    </xf>
    <xf numFmtId="0" fontId="51" fillId="16" borderId="11" xfId="8" applyFont="1" applyFill="1" applyBorder="1" applyAlignment="1">
      <alignment horizontal="left"/>
    </xf>
    <xf numFmtId="0" fontId="55" fillId="15" borderId="0" xfId="8" applyFont="1" applyFill="1" applyBorder="1" applyAlignment="1">
      <alignment horizontal="center"/>
    </xf>
    <xf numFmtId="0" fontId="57" fillId="15" borderId="0" xfId="8" applyFont="1" applyFill="1" applyBorder="1" applyAlignment="1">
      <alignment horizontal="center"/>
    </xf>
    <xf numFmtId="2" fontId="55" fillId="15" borderId="11" xfId="8" applyNumberFormat="1" applyFont="1" applyFill="1" applyBorder="1" applyAlignment="1">
      <alignment horizontal="center"/>
    </xf>
    <xf numFmtId="2" fontId="51" fillId="16" borderId="11" xfId="8" applyNumberFormat="1" applyFont="1" applyFill="1" applyBorder="1" applyAlignment="1">
      <alignment horizontal="center"/>
    </xf>
    <xf numFmtId="0" fontId="51" fillId="15" borderId="11" xfId="8" quotePrefix="1" applyFont="1" applyFill="1" applyBorder="1" applyAlignment="1">
      <alignment horizontal="center"/>
    </xf>
    <xf numFmtId="0" fontId="51" fillId="15" borderId="11" xfId="8" applyFont="1" applyFill="1" applyBorder="1" applyAlignment="1">
      <alignment horizontal="center"/>
    </xf>
    <xf numFmtId="2" fontId="55" fillId="15" borderId="64" xfId="8" applyNumberFormat="1" applyFont="1" applyFill="1" applyBorder="1" applyAlignment="1">
      <alignment horizontal="center"/>
    </xf>
    <xf numFmtId="1" fontId="55" fillId="15" borderId="1" xfId="8" applyNumberFormat="1" applyFont="1" applyFill="1" applyBorder="1" applyAlignment="1">
      <alignment horizontal="center"/>
    </xf>
    <xf numFmtId="0" fontId="51" fillId="15" borderId="0" xfId="8" applyFont="1" applyFill="1" applyBorder="1" applyAlignment="1">
      <alignment horizontal="left" shrinkToFit="1"/>
    </xf>
    <xf numFmtId="9" fontId="56" fillId="0" borderId="0" xfId="8" applyNumberFormat="1" applyFont="1" applyFill="1" applyBorder="1" applyAlignment="1">
      <alignment horizontal="center" vertical="center"/>
    </xf>
    <xf numFmtId="2" fontId="55" fillId="15" borderId="0" xfId="8" applyNumberFormat="1" applyFont="1" applyFill="1" applyBorder="1" applyAlignment="1">
      <alignment horizontal="center"/>
    </xf>
    <xf numFmtId="0" fontId="60" fillId="15" borderId="1" xfId="8" applyFont="1" applyFill="1" applyBorder="1" applyAlignment="1">
      <alignment horizontal="center" vertical="center"/>
    </xf>
    <xf numFmtId="0" fontId="26" fillId="15" borderId="59" xfId="3" applyFont="1" applyFill="1" applyBorder="1" applyAlignment="1">
      <alignment horizontal="left" vertical="center"/>
    </xf>
    <xf numFmtId="0" fontId="26" fillId="15" borderId="0" xfId="3" applyFont="1" applyFill="1" applyBorder="1" applyAlignment="1">
      <alignment horizontal="left" vertical="center"/>
    </xf>
    <xf numFmtId="0" fontId="52" fillId="15" borderId="29" xfId="3" applyFont="1" applyFill="1" applyBorder="1" applyAlignment="1">
      <alignment horizontal="left" vertical="center"/>
    </xf>
    <xf numFmtId="0" fontId="53" fillId="15" borderId="30" xfId="3" applyFont="1" applyFill="1" applyBorder="1" applyAlignment="1">
      <alignment horizontal="left" vertical="center"/>
    </xf>
    <xf numFmtId="0" fontId="0" fillId="0" borderId="76" xfId="0" applyBorder="1" applyAlignment="1">
      <alignment horizontal="center" vertical="center"/>
    </xf>
    <xf numFmtId="0" fontId="1" fillId="25" borderId="1" xfId="11" applyFont="1" applyFill="1" applyBorder="1" applyAlignment="1">
      <alignment horizontal="center"/>
    </xf>
    <xf numFmtId="0" fontId="0" fillId="25" borderId="1" xfId="0" applyFill="1" applyBorder="1" applyAlignment="1">
      <alignment horizontal="center"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13" xfId="0" applyFont="1" applyFill="1" applyBorder="1" applyAlignment="1">
      <alignment horizontal="center" vertical="center" wrapText="1"/>
    </xf>
    <xf numFmtId="0" fontId="2" fillId="5" borderId="14" xfId="0" applyFont="1" applyFill="1" applyBorder="1" applyAlignment="1">
      <alignment horizontal="center" vertical="center" wrapText="1"/>
    </xf>
    <xf numFmtId="180" fontId="48" fillId="15" borderId="104" xfId="3" applyNumberFormat="1" applyFont="1" applyFill="1" applyBorder="1" applyAlignment="1">
      <alignment horizontal="center" vertical="center"/>
    </xf>
    <xf numFmtId="180" fontId="48" fillId="15" borderId="107" xfId="3" applyNumberFormat="1" applyFont="1" applyFill="1" applyBorder="1" applyAlignment="1">
      <alignment horizontal="center" vertical="center"/>
    </xf>
    <xf numFmtId="0" fontId="41" fillId="15" borderId="13" xfId="3" applyFont="1" applyFill="1" applyBorder="1" applyAlignment="1">
      <alignment horizontal="center" vertical="center"/>
    </xf>
    <xf numFmtId="0" fontId="19" fillId="15" borderId="112" xfId="7" applyFill="1" applyBorder="1" applyAlignment="1">
      <alignment horizontal="center" vertical="center"/>
    </xf>
    <xf numFmtId="0" fontId="41" fillId="16" borderId="5" xfId="3" applyFont="1" applyFill="1" applyBorder="1" applyAlignment="1">
      <alignment horizontal="center" vertical="center"/>
    </xf>
    <xf numFmtId="0" fontId="19" fillId="16" borderId="7" xfId="7" applyFill="1" applyBorder="1" applyAlignment="1">
      <alignment horizontal="center" vertical="center"/>
    </xf>
    <xf numFmtId="0" fontId="19" fillId="16" borderId="113" xfId="7" applyFill="1" applyBorder="1" applyAlignment="1">
      <alignment horizontal="center" vertical="center"/>
    </xf>
    <xf numFmtId="0" fontId="19" fillId="16" borderId="114" xfId="7" applyFill="1" applyBorder="1" applyAlignment="1">
      <alignment horizontal="center" vertical="center"/>
    </xf>
    <xf numFmtId="0" fontId="48" fillId="15" borderId="5" xfId="3" applyFont="1" applyFill="1" applyBorder="1" applyAlignment="1">
      <alignment horizontal="center" vertical="center"/>
    </xf>
    <xf numFmtId="0" fontId="48" fillId="15" borderId="7" xfId="3" applyFont="1" applyFill="1" applyBorder="1" applyAlignment="1">
      <alignment horizontal="center" vertical="center"/>
    </xf>
    <xf numFmtId="0" fontId="48" fillId="15" borderId="113" xfId="3" applyFont="1" applyFill="1" applyBorder="1" applyAlignment="1">
      <alignment horizontal="center" vertical="center"/>
    </xf>
    <xf numFmtId="0" fontId="48" fillId="15" borderId="114" xfId="3" applyFont="1" applyFill="1" applyBorder="1" applyAlignment="1">
      <alignment horizontal="center" vertical="center"/>
    </xf>
    <xf numFmtId="0" fontId="41" fillId="15" borderId="104" xfId="3" applyFont="1" applyFill="1" applyBorder="1" applyAlignment="1">
      <alignment horizontal="center" vertical="center"/>
    </xf>
    <xf numFmtId="0" fontId="41" fillId="15" borderId="115" xfId="3" applyFont="1" applyFill="1" applyBorder="1" applyAlignment="1">
      <alignment horizontal="center" vertical="center"/>
    </xf>
    <xf numFmtId="0" fontId="41" fillId="15" borderId="77" xfId="3" applyFont="1" applyFill="1" applyBorder="1" applyAlignment="1">
      <alignment horizontal="center" vertical="center"/>
    </xf>
    <xf numFmtId="0" fontId="41" fillId="15" borderId="25" xfId="3" applyFont="1" applyFill="1" applyBorder="1" applyAlignment="1">
      <alignment horizontal="center" vertical="center"/>
    </xf>
    <xf numFmtId="0" fontId="41" fillId="15" borderId="78" xfId="3" applyFont="1" applyFill="1" applyBorder="1" applyAlignment="1">
      <alignment horizontal="center" vertical="center"/>
    </xf>
    <xf numFmtId="2" fontId="48" fillId="15" borderId="99" xfId="3" applyNumberFormat="1" applyFont="1" applyFill="1" applyBorder="1" applyAlignment="1">
      <alignment horizontal="center" vertical="center"/>
    </xf>
    <xf numFmtId="2" fontId="48" fillId="15" borderId="100" xfId="3" applyNumberFormat="1" applyFont="1" applyFill="1" applyBorder="1" applyAlignment="1">
      <alignment horizontal="center" vertical="center"/>
    </xf>
    <xf numFmtId="0" fontId="109" fillId="15" borderId="110" xfId="3" applyFont="1" applyFill="1" applyBorder="1" applyAlignment="1">
      <alignment horizontal="center" vertical="center"/>
    </xf>
    <xf numFmtId="0" fontId="109" fillId="15" borderId="103" xfId="3" applyFont="1" applyFill="1" applyBorder="1" applyAlignment="1">
      <alignment horizontal="center" vertical="center"/>
    </xf>
    <xf numFmtId="0" fontId="109" fillId="15" borderId="111" xfId="3" applyFont="1" applyFill="1" applyBorder="1" applyAlignment="1">
      <alignment horizontal="center" vertical="center"/>
    </xf>
    <xf numFmtId="0" fontId="109" fillId="15" borderId="13" xfId="3" applyFont="1" applyFill="1" applyBorder="1" applyAlignment="1">
      <alignment horizontal="center" vertical="center"/>
    </xf>
    <xf numFmtId="0" fontId="109" fillId="15" borderId="15" xfId="3" applyFont="1" applyFill="1" applyBorder="1" applyAlignment="1">
      <alignment horizontal="center" vertical="center"/>
    </xf>
    <xf numFmtId="0" fontId="109" fillId="15" borderId="112" xfId="3" applyFont="1" applyFill="1" applyBorder="1" applyAlignment="1">
      <alignment horizontal="center" vertical="center"/>
    </xf>
    <xf numFmtId="0" fontId="48" fillId="15" borderId="6" xfId="3" applyFont="1" applyFill="1" applyBorder="1" applyAlignment="1">
      <alignment horizontal="center" vertical="center"/>
    </xf>
    <xf numFmtId="0" fontId="48" fillId="15" borderId="8" xfId="3" applyFont="1" applyFill="1" applyBorder="1" applyAlignment="1">
      <alignment horizontal="center" vertical="center"/>
    </xf>
    <xf numFmtId="0" fontId="48" fillId="15" borderId="0" xfId="3" applyFont="1" applyFill="1" applyAlignment="1">
      <alignment horizontal="center" vertical="center"/>
    </xf>
    <xf numFmtId="0" fontId="48" fillId="15" borderId="9" xfId="3" applyFont="1" applyFill="1" applyBorder="1" applyAlignment="1">
      <alignment horizontal="center" vertical="center"/>
    </xf>
    <xf numFmtId="0" fontId="48" fillId="15" borderId="69" xfId="3" applyFont="1" applyFill="1" applyBorder="1" applyAlignment="1">
      <alignment horizontal="center" vertical="center"/>
    </xf>
    <xf numFmtId="0" fontId="19" fillId="15" borderId="14" xfId="7" applyFill="1" applyBorder="1" applyAlignment="1">
      <alignment horizontal="center" vertical="center"/>
    </xf>
    <xf numFmtId="0" fontId="41" fillId="16" borderId="6" xfId="3" applyFont="1" applyFill="1" applyBorder="1" applyAlignment="1">
      <alignment horizontal="center" vertical="center"/>
    </xf>
    <xf numFmtId="0" fontId="19" fillId="16" borderId="11" xfId="7" applyFill="1" applyBorder="1" applyAlignment="1">
      <alignment horizontal="center" vertical="center"/>
    </xf>
    <xf numFmtId="0" fontId="19" fillId="16" borderId="12" xfId="7" applyFill="1" applyBorder="1" applyAlignment="1">
      <alignment horizontal="center" vertical="center"/>
    </xf>
    <xf numFmtId="166" fontId="48" fillId="15" borderId="5" xfId="3" applyNumberFormat="1" applyFont="1" applyFill="1" applyBorder="1" applyAlignment="1">
      <alignment horizontal="center" vertical="center"/>
    </xf>
    <xf numFmtId="0" fontId="19" fillId="15" borderId="7" xfId="7" applyFill="1" applyBorder="1">
      <alignment vertical="center"/>
    </xf>
    <xf numFmtId="0" fontId="19" fillId="15" borderId="10" xfId="7" applyFill="1" applyBorder="1">
      <alignment vertical="center"/>
    </xf>
    <xf numFmtId="0" fontId="19" fillId="15" borderId="12" xfId="7" applyFill="1" applyBorder="1">
      <alignment vertical="center"/>
    </xf>
    <xf numFmtId="2" fontId="41" fillId="15" borderId="0" xfId="3" applyNumberFormat="1" applyFont="1" applyFill="1" applyAlignment="1">
      <alignment horizontal="center" vertical="center"/>
    </xf>
    <xf numFmtId="2" fontId="41" fillId="15" borderId="9" xfId="3" applyNumberFormat="1" applyFont="1" applyFill="1" applyBorder="1" applyAlignment="1">
      <alignment horizontal="center" vertical="center"/>
    </xf>
    <xf numFmtId="0" fontId="41" fillId="15" borderId="8" xfId="3" applyFont="1" applyFill="1" applyBorder="1" applyAlignment="1">
      <alignment horizontal="left" vertical="center"/>
    </xf>
    <xf numFmtId="0" fontId="41" fillId="15" borderId="0" xfId="3" applyFont="1" applyFill="1" applyAlignment="1">
      <alignment horizontal="left" vertical="center"/>
    </xf>
    <xf numFmtId="0" fontId="41" fillId="15" borderId="9" xfId="3" applyFont="1" applyFill="1" applyBorder="1" applyAlignment="1">
      <alignment horizontal="left" vertical="center"/>
    </xf>
    <xf numFmtId="2" fontId="41" fillId="15" borderId="8" xfId="3" applyNumberFormat="1" applyFont="1" applyFill="1" applyBorder="1" applyAlignment="1">
      <alignment horizontal="left" vertical="center"/>
    </xf>
    <xf numFmtId="2" fontId="41" fillId="15" borderId="0" xfId="3" applyNumberFormat="1" applyFont="1" applyFill="1" applyAlignment="1">
      <alignment horizontal="left" vertical="center"/>
    </xf>
    <xf numFmtId="2" fontId="41" fillId="15" borderId="9" xfId="3" applyNumberFormat="1" applyFont="1" applyFill="1" applyBorder="1" applyAlignment="1">
      <alignment horizontal="left" vertical="center"/>
    </xf>
    <xf numFmtId="0" fontId="48" fillId="15" borderId="108" xfId="3" applyFont="1" applyFill="1" applyBorder="1" applyAlignment="1">
      <alignment horizontal="center" vertical="center"/>
    </xf>
    <xf numFmtId="0" fontId="48" fillId="15" borderId="100" xfId="3" applyFont="1" applyFill="1" applyBorder="1" applyAlignment="1">
      <alignment horizontal="center" vertical="center"/>
    </xf>
    <xf numFmtId="0" fontId="48" fillId="15" borderId="77" xfId="3" applyFont="1" applyFill="1" applyBorder="1" applyAlignment="1">
      <alignment horizontal="center" vertical="center"/>
    </xf>
    <xf numFmtId="0" fontId="48" fillId="15" borderId="25" xfId="3" applyFont="1" applyFill="1" applyBorder="1" applyAlignment="1">
      <alignment horizontal="center" vertical="center"/>
    </xf>
    <xf numFmtId="0" fontId="41" fillId="15" borderId="8" xfId="3" applyFont="1" applyFill="1" applyBorder="1" applyAlignment="1">
      <alignment horizontal="center" vertical="center"/>
    </xf>
    <xf numFmtId="0" fontId="41" fillId="15" borderId="0" xfId="3" applyFont="1" applyFill="1" applyAlignment="1">
      <alignment horizontal="center" vertical="center"/>
    </xf>
    <xf numFmtId="0" fontId="41" fillId="15" borderId="9" xfId="3" applyFont="1" applyFill="1" applyBorder="1" applyAlignment="1">
      <alignment horizontal="center" vertical="center"/>
    </xf>
    <xf numFmtId="0" fontId="41" fillId="15" borderId="10" xfId="3" applyFont="1" applyFill="1" applyBorder="1" applyAlignment="1">
      <alignment horizontal="center" vertical="center"/>
    </xf>
    <xf numFmtId="0" fontId="41" fillId="15" borderId="11" xfId="3" applyFont="1" applyFill="1" applyBorder="1" applyAlignment="1">
      <alignment horizontal="center" vertical="center"/>
    </xf>
    <xf numFmtId="0" fontId="41" fillId="15" borderId="12" xfId="3" applyFont="1" applyFill="1" applyBorder="1" applyAlignment="1">
      <alignment horizontal="center" vertical="center"/>
    </xf>
    <xf numFmtId="0" fontId="101" fillId="15" borderId="2" xfId="3" applyFont="1" applyFill="1" applyBorder="1" applyAlignment="1">
      <alignment horizontal="center" vertical="center"/>
    </xf>
    <xf numFmtId="0" fontId="101" fillId="15" borderId="3" xfId="3" applyFont="1" applyFill="1" applyBorder="1" applyAlignment="1">
      <alignment horizontal="center" vertical="center"/>
    </xf>
    <xf numFmtId="0" fontId="101" fillId="15" borderId="4" xfId="3" applyFont="1" applyFill="1" applyBorder="1" applyAlignment="1">
      <alignment horizontal="center" vertical="center"/>
    </xf>
    <xf numFmtId="0" fontId="41" fillId="15" borderId="5" xfId="3" applyFont="1" applyFill="1" applyBorder="1" applyAlignment="1">
      <alignment horizontal="left" vertical="center"/>
    </xf>
    <xf numFmtId="0" fontId="41" fillId="15" borderId="6" xfId="3" applyFont="1" applyFill="1" applyBorder="1" applyAlignment="1">
      <alignment horizontal="left" vertical="center"/>
    </xf>
    <xf numFmtId="0" fontId="41" fillId="15" borderId="7" xfId="3" applyFont="1" applyFill="1" applyBorder="1" applyAlignment="1">
      <alignment horizontal="left" vertical="center"/>
    </xf>
    <xf numFmtId="0" fontId="41" fillId="15" borderId="10" xfId="3" quotePrefix="1" applyFont="1" applyFill="1" applyBorder="1" applyAlignment="1">
      <alignment horizontal="center" vertical="center"/>
    </xf>
    <xf numFmtId="0" fontId="41" fillId="15" borderId="10" xfId="3" applyFont="1" applyFill="1" applyBorder="1" applyAlignment="1">
      <alignment horizontal="left" vertical="center"/>
    </xf>
    <xf numFmtId="0" fontId="41" fillId="15" borderId="11" xfId="3" applyFont="1" applyFill="1" applyBorder="1" applyAlignment="1">
      <alignment horizontal="left" vertical="center"/>
    </xf>
    <xf numFmtId="0" fontId="41" fillId="15" borderId="12" xfId="3" applyFont="1" applyFill="1" applyBorder="1" applyAlignment="1">
      <alignment horizontal="left" vertical="center"/>
    </xf>
    <xf numFmtId="12" fontId="41" fillId="15" borderId="5" xfId="3" applyNumberFormat="1" applyFont="1" applyFill="1" applyBorder="1" applyAlignment="1">
      <alignment horizontal="center" vertical="center"/>
    </xf>
    <xf numFmtId="12" fontId="41" fillId="15" borderId="7" xfId="3" applyNumberFormat="1" applyFont="1" applyFill="1" applyBorder="1" applyAlignment="1">
      <alignment horizontal="center" vertical="center"/>
    </xf>
    <xf numFmtId="0" fontId="41" fillId="15" borderId="5" xfId="3" applyFont="1" applyFill="1" applyBorder="1" applyAlignment="1">
      <alignment horizontal="center" vertical="center"/>
    </xf>
    <xf numFmtId="0" fontId="41" fillId="15" borderId="7" xfId="3" applyFont="1" applyFill="1" applyBorder="1" applyAlignment="1">
      <alignment horizontal="center" vertical="center"/>
    </xf>
    <xf numFmtId="0" fontId="41" fillId="15" borderId="6" xfId="3" applyFont="1" applyFill="1" applyBorder="1" applyAlignment="1">
      <alignment horizontal="center" vertical="center"/>
    </xf>
    <xf numFmtId="0" fontId="41" fillId="15" borderId="8" xfId="3" applyFont="1" applyFill="1" applyBorder="1" applyAlignment="1">
      <alignment horizontal="center" vertical="center" wrapText="1"/>
    </xf>
    <xf numFmtId="0" fontId="41" fillId="15" borderId="9" xfId="3" applyFont="1" applyFill="1" applyBorder="1" applyAlignment="1">
      <alignment horizontal="center" vertical="center" wrapText="1"/>
    </xf>
    <xf numFmtId="0" fontId="41" fillId="15" borderId="8" xfId="3" applyFont="1" applyFill="1" applyBorder="1" applyAlignment="1">
      <alignment vertical="center"/>
    </xf>
    <xf numFmtId="0" fontId="41" fillId="15" borderId="0" xfId="3" applyFont="1" applyFill="1" applyAlignment="1">
      <alignment vertical="center"/>
    </xf>
    <xf numFmtId="0" fontId="41" fillId="15" borderId="9" xfId="3" applyFont="1" applyFill="1" applyBorder="1" applyAlignment="1">
      <alignment vertical="center"/>
    </xf>
    <xf numFmtId="0" fontId="98" fillId="15" borderId="72" xfId="7" applyFont="1" applyFill="1" applyBorder="1" applyAlignment="1">
      <alignment horizontal="center" vertical="center"/>
    </xf>
    <xf numFmtId="0" fontId="98" fillId="15" borderId="27" xfId="7" applyFont="1" applyFill="1" applyBorder="1" applyAlignment="1">
      <alignment horizontal="center" vertical="center"/>
    </xf>
    <xf numFmtId="0" fontId="98" fillId="15" borderId="73" xfId="7" applyFont="1" applyFill="1" applyBorder="1" applyAlignment="1">
      <alignment horizontal="center" vertical="center"/>
    </xf>
    <xf numFmtId="0" fontId="98" fillId="15" borderId="59" xfId="7" applyFont="1" applyFill="1" applyBorder="1" applyAlignment="1">
      <alignment horizontal="center" vertical="center"/>
    </xf>
    <xf numFmtId="0" fontId="98" fillId="15" borderId="0" xfId="7" applyFont="1" applyFill="1" applyAlignment="1">
      <alignment horizontal="center" vertical="center"/>
    </xf>
    <xf numFmtId="0" fontId="98" fillId="15" borderId="60" xfId="7" applyFont="1" applyFill="1" applyBorder="1" applyAlignment="1">
      <alignment horizontal="center" vertical="center"/>
    </xf>
    <xf numFmtId="0" fontId="98" fillId="15" borderId="74" xfId="7" applyFont="1" applyFill="1" applyBorder="1" applyAlignment="1">
      <alignment horizontal="center" vertical="center"/>
    </xf>
    <xf numFmtId="0" fontId="98" fillId="15" borderId="29" xfId="7" applyFont="1" applyFill="1" applyBorder="1" applyAlignment="1">
      <alignment horizontal="center" vertical="center"/>
    </xf>
    <xf numFmtId="0" fontId="98" fillId="15" borderId="61" xfId="7" applyFont="1" applyFill="1" applyBorder="1" applyAlignment="1">
      <alignment horizontal="center" vertical="center"/>
    </xf>
    <xf numFmtId="0" fontId="99" fillId="15" borderId="0" xfId="3" applyFont="1" applyFill="1" applyAlignment="1">
      <alignment vertical="center"/>
    </xf>
    <xf numFmtId="0" fontId="100" fillId="15" borderId="60" xfId="3" applyFont="1" applyFill="1" applyBorder="1" applyAlignment="1">
      <alignment vertical="center"/>
    </xf>
    <xf numFmtId="178" fontId="103" fillId="15" borderId="30" xfId="3" applyNumberFormat="1" applyFont="1" applyFill="1" applyBorder="1" applyAlignment="1">
      <alignment horizontal="left" vertical="center"/>
    </xf>
    <xf numFmtId="0" fontId="101" fillId="15" borderId="99" xfId="3" applyFont="1" applyFill="1" applyBorder="1" applyAlignment="1">
      <alignment horizontal="center" vertical="center"/>
    </xf>
    <xf numFmtId="0" fontId="101" fillId="15" borderId="100" xfId="3" applyFont="1" applyFill="1" applyBorder="1" applyAlignment="1">
      <alignment horizontal="center" vertical="center"/>
    </xf>
    <xf numFmtId="0" fontId="101" fillId="15" borderId="2" xfId="3" applyFont="1" applyFill="1" applyBorder="1" applyAlignment="1">
      <alignment horizontal="left" vertical="center"/>
    </xf>
    <xf numFmtId="0" fontId="101" fillId="15" borderId="3" xfId="3" applyFont="1" applyFill="1" applyBorder="1" applyAlignment="1">
      <alignment horizontal="left" vertical="center"/>
    </xf>
    <xf numFmtId="0" fontId="101" fillId="15" borderId="4" xfId="3" applyFont="1" applyFill="1" applyBorder="1" applyAlignment="1">
      <alignment horizontal="left" vertical="center"/>
    </xf>
    <xf numFmtId="0" fontId="0" fillId="3" borderId="0" xfId="0" applyFill="1" applyAlignment="1">
      <alignment horizontal="left"/>
    </xf>
    <xf numFmtId="0" fontId="0" fillId="3" borderId="0" xfId="0" applyFill="1" applyAlignment="1">
      <alignment horizontal="center"/>
    </xf>
    <xf numFmtId="0" fontId="2" fillId="3" borderId="0" xfId="0" applyFont="1" applyFill="1" applyAlignment="1">
      <alignment horizontal="center"/>
    </xf>
    <xf numFmtId="0" fontId="0" fillId="3" borderId="6" xfId="0" applyFill="1" applyBorder="1" applyAlignment="1">
      <alignment horizontal="left"/>
    </xf>
    <xf numFmtId="0" fontId="118" fillId="3" borderId="6" xfId="0" applyFont="1" applyFill="1" applyBorder="1" applyAlignment="1">
      <alignment horizontal="left"/>
    </xf>
    <xf numFmtId="0" fontId="118" fillId="3" borderId="0" xfId="0" applyFont="1" applyFill="1" applyAlignment="1">
      <alignment horizontal="center"/>
    </xf>
    <xf numFmtId="0" fontId="2" fillId="3" borderId="1" xfId="0" applyFont="1" applyFill="1" applyBorder="1" applyAlignment="1">
      <alignment horizontal="center" vertical="center" textRotation="90"/>
    </xf>
    <xf numFmtId="0" fontId="0" fillId="3" borderId="8" xfId="0" applyFill="1" applyBorder="1" applyAlignment="1">
      <alignment horizontal="center"/>
    </xf>
    <xf numFmtId="2" fontId="2" fillId="3" borderId="13" xfId="0" applyNumberFormat="1" applyFont="1" applyFill="1" applyBorder="1" applyAlignment="1">
      <alignment horizontal="center" vertical="center" wrapText="1"/>
    </xf>
    <xf numFmtId="2" fontId="2" fillId="3" borderId="15" xfId="0" applyNumberFormat="1" applyFont="1" applyFill="1" applyBorder="1" applyAlignment="1">
      <alignment horizontal="center" vertical="center" wrapText="1"/>
    </xf>
    <xf numFmtId="2" fontId="2" fillId="3" borderId="14" xfId="0" applyNumberFormat="1"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xf>
    <xf numFmtId="0" fontId="74" fillId="3" borderId="2" xfId="0" applyFont="1" applyFill="1" applyBorder="1" applyAlignment="1">
      <alignment horizontal="center" vertical="center"/>
    </xf>
    <xf numFmtId="0" fontId="74" fillId="3" borderId="3" xfId="0" applyFont="1" applyFill="1" applyBorder="1" applyAlignment="1">
      <alignment horizontal="center" vertical="center"/>
    </xf>
    <xf numFmtId="0" fontId="74" fillId="3" borderId="4" xfId="0" applyFont="1" applyFill="1" applyBorder="1" applyAlignment="1">
      <alignment horizontal="center" vertical="center"/>
    </xf>
    <xf numFmtId="0" fontId="114" fillId="3" borderId="11" xfId="0" applyFont="1" applyFill="1" applyBorder="1" applyAlignment="1">
      <alignment horizontal="center"/>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vertical="center"/>
    </xf>
    <xf numFmtId="0" fontId="111" fillId="0" borderId="11" xfId="0" applyFont="1" applyBorder="1" applyAlignment="1">
      <alignment horizontal="center"/>
    </xf>
    <xf numFmtId="0" fontId="17" fillId="31" borderId="1" xfId="0" applyFont="1" applyFill="1" applyBorder="1" applyAlignment="1">
      <alignment horizontal="center" vertical="center"/>
    </xf>
    <xf numFmtId="0" fontId="112" fillId="0" borderId="0" xfId="0" applyFont="1" applyAlignment="1">
      <alignment horizontal="center" vertical="center"/>
    </xf>
    <xf numFmtId="0" fontId="113" fillId="3" borderId="13" xfId="0" applyFont="1" applyFill="1" applyBorder="1" applyAlignment="1">
      <alignment horizontal="center" vertical="center"/>
    </xf>
    <xf numFmtId="0" fontId="113" fillId="3" borderId="14" xfId="0" applyFont="1" applyFill="1" applyBorder="1" applyAlignment="1">
      <alignment horizontal="center" vertical="center"/>
    </xf>
    <xf numFmtId="0" fontId="114" fillId="4" borderId="2" xfId="0" applyFont="1" applyFill="1" applyBorder="1" applyAlignment="1">
      <alignment horizontal="center"/>
    </xf>
    <xf numFmtId="0" fontId="114" fillId="4" borderId="4" xfId="0" applyFont="1" applyFill="1" applyBorder="1" applyAlignment="1">
      <alignment horizontal="center"/>
    </xf>
  </cellXfs>
  <cellStyles count="15">
    <cellStyle name="Currency" xfId="14" builtinId="4"/>
    <cellStyle name="Good 2" xfId="11" xr:uid="{00000000-0005-0000-0000-000000000000}"/>
    <cellStyle name="Hyperlink" xfId="6" builtinId="8"/>
    <cellStyle name="Hyperlink_INTAN B-14 2004-12-26" xfId="9" xr:uid="{00000000-0005-0000-0000-000002000000}"/>
    <cellStyle name="Neutral 2" xfId="10" xr:uid="{00000000-0005-0000-0000-000003000000}"/>
    <cellStyle name="Normal" xfId="0" builtinId="0"/>
    <cellStyle name="Normal 2" xfId="2" xr:uid="{00000000-0005-0000-0000-000005000000}"/>
    <cellStyle name="Normal 2 2" xfId="13" xr:uid="{00000000-0005-0000-0000-000006000000}"/>
    <cellStyle name="Normal 3" xfId="7" xr:uid="{00000000-0005-0000-0000-000007000000}"/>
    <cellStyle name="Normal 4" xfId="12" xr:uid="{00000000-0005-0000-0000-000008000000}"/>
    <cellStyle name="Normal_INTAN B-14 2004-12-26" xfId="8" xr:uid="{00000000-0005-0000-0000-000009000000}"/>
    <cellStyle name="Normal_Mudi 8 Completion Diagram EA Jan 04" xfId="3" xr:uid="{00000000-0005-0000-0000-00000A000000}"/>
    <cellStyle name="Percent" xfId="1" builtinId="5"/>
    <cellStyle name="Percent 2" xfId="4" xr:uid="{00000000-0005-0000-0000-00000C000000}"/>
    <cellStyle name="常规_123_pump sizing NEIA-06_~0443674" xfId="5" xr:uid="{00000000-0005-0000-0000-00000D000000}"/>
  </cellStyles>
  <dxfs count="2">
    <dxf>
      <font>
        <condense val="0"/>
        <extend val="0"/>
        <color indexed="9"/>
      </font>
    </dxf>
    <dxf>
      <font>
        <condense val="0"/>
        <extend val="0"/>
        <color indexed="9"/>
      </font>
    </dxf>
  </dxfs>
  <tableStyles count="0" defaultTableStyle="TableStyleMedium2" defaultPivotStyle="PivotStyleLight16"/>
  <colors>
    <mruColors>
      <color rgb="FF00FFFF"/>
      <color rgb="FF99FF33"/>
      <color rgb="FFC2FF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D"/>
              <a:t>Kurva IPR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IPR!$C$18:$C$33</c:f>
            </c:numRef>
          </c:xVal>
          <c:yVal>
            <c:numRef>
              <c:f>IPR!$B$18:$B$33</c:f>
            </c:numRef>
          </c:yVal>
          <c:smooth val="1"/>
          <c:extLst>
            <c:ext xmlns:c16="http://schemas.microsoft.com/office/drawing/2014/chart" uri="{C3380CC4-5D6E-409C-BE32-E72D297353CC}">
              <c16:uniqueId val="{00000000-C2DF-43C8-ADB6-69A36FFF9BB1}"/>
            </c:ext>
          </c:extLst>
        </c:ser>
        <c:dLbls>
          <c:showLegendKey val="0"/>
          <c:showVal val="0"/>
          <c:showCatName val="0"/>
          <c:showSerName val="0"/>
          <c:showPercent val="0"/>
          <c:showBubbleSize val="0"/>
        </c:dLbls>
        <c:axId val="101679344"/>
        <c:axId val="101679904"/>
      </c:scatterChart>
      <c:valAx>
        <c:axId val="10167934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D"/>
                  <a:t>Q, bfpd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679904"/>
        <c:crosses val="autoZero"/>
        <c:crossBetween val="midCat"/>
        <c:majorUnit val="500"/>
      </c:valAx>
      <c:valAx>
        <c:axId val="101679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D"/>
                  <a:t>Pwf, psi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6793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Grafik Internal Rate of Return (IRR)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areaChart>
        <c:grouping val="standard"/>
        <c:varyColors val="0"/>
        <c:ser>
          <c:idx val="0"/>
          <c:order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cat>
            <c:strRef>
              <c:f>('Analisa Ekonomi (Reda)'!$G$12,'Analisa Ekonomi (Reda)'!$H$12)</c:f>
              <c:strCache>
                <c:ptCount val="2"/>
                <c:pt idx="0">
                  <c:v>i = 5%</c:v>
                </c:pt>
                <c:pt idx="1">
                  <c:v>i = 18%</c:v>
                </c:pt>
              </c:strCache>
            </c:strRef>
          </c:cat>
          <c:val>
            <c:numRef>
              <c:f>('Analisa Ekonomi (Reda)'!$G$18,'Analisa Ekonomi (Reda)'!$H$18)</c:f>
              <c:numCache>
                <c:formatCode>0</c:formatCode>
                <c:ptCount val="2"/>
                <c:pt idx="0">
                  <c:v>109919.30767040281</c:v>
                </c:pt>
                <c:pt idx="1">
                  <c:v>-102010.91314127506</c:v>
                </c:pt>
              </c:numCache>
            </c:numRef>
          </c:val>
          <c:extLst>
            <c:ext xmlns:c16="http://schemas.microsoft.com/office/drawing/2014/chart" uri="{C3380CC4-5D6E-409C-BE32-E72D297353CC}">
              <c16:uniqueId val="{00000000-CE34-4641-8EB1-EC7D9693B4F4}"/>
            </c:ext>
          </c:extLst>
        </c:ser>
        <c:dLbls>
          <c:showLegendKey val="0"/>
          <c:showVal val="0"/>
          <c:showCatName val="0"/>
          <c:showSerName val="0"/>
          <c:showPercent val="0"/>
          <c:showBubbleSize val="0"/>
        </c:dLbls>
        <c:axId val="498198776"/>
        <c:axId val="498199432"/>
      </c:areaChart>
      <c:catAx>
        <c:axId val="49819877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i, Interest/Bunga Modal (%)</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98199432"/>
        <c:crosses val="autoZero"/>
        <c:auto val="1"/>
        <c:lblAlgn val="ctr"/>
        <c:lblOffset val="100"/>
        <c:noMultiLvlLbl val="0"/>
      </c:catAx>
      <c:valAx>
        <c:axId val="498199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Net Present Value, NPV (US$)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981987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Kurva IPR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IPR</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IPR!$C$42:$C$57</c:f>
              <c:numCache>
                <c:formatCode>0</c:formatCode>
                <c:ptCount val="16"/>
                <c:pt idx="0">
                  <c:v>0</c:v>
                </c:pt>
                <c:pt idx="1">
                  <c:v>1099.7975002191195</c:v>
                </c:pt>
                <c:pt idx="2">
                  <c:v>1344.7962750485065</c:v>
                </c:pt>
                <c:pt idx="3">
                  <c:v>2079.7925995366672</c:v>
                </c:pt>
                <c:pt idx="4">
                  <c:v>2741.2892915760117</c:v>
                </c:pt>
                <c:pt idx="5">
                  <c:v>3549.7852485129888</c:v>
                </c:pt>
                <c:pt idx="6">
                  <c:v>4284.7815730011498</c:v>
                </c:pt>
                <c:pt idx="7">
                  <c:v>5019.7778974893099</c:v>
                </c:pt>
                <c:pt idx="8">
                  <c:v>5754.7742219774709</c:v>
                </c:pt>
                <c:pt idx="9">
                  <c:v>6028.7330653189565</c:v>
                </c:pt>
                <c:pt idx="10">
                  <c:v>7038.1011377504501</c:v>
                </c:pt>
                <c:pt idx="11">
                  <c:v>7539.7652957344326</c:v>
                </c:pt>
                <c:pt idx="12">
                  <c:v>7948.0965871167446</c:v>
                </c:pt>
                <c:pt idx="13">
                  <c:v>8263.0950118973851</c:v>
                </c:pt>
                <c:pt idx="14">
                  <c:v>8484.7605700763543</c:v>
                </c:pt>
                <c:pt idx="15">
                  <c:v>8613.093261653652</c:v>
                </c:pt>
              </c:numCache>
            </c:numRef>
          </c:xVal>
          <c:yVal>
            <c:numRef>
              <c:f>IPR!$B$42:$B$57</c:f>
              <c:numCache>
                <c:formatCode>General</c:formatCode>
                <c:ptCount val="16"/>
                <c:pt idx="0" formatCode="0.00">
                  <c:v>2224.4495918367347</c:v>
                </c:pt>
                <c:pt idx="1">
                  <c:v>2000</c:v>
                </c:pt>
                <c:pt idx="2">
                  <c:v>1950</c:v>
                </c:pt>
                <c:pt idx="3">
                  <c:v>1800</c:v>
                </c:pt>
                <c:pt idx="4">
                  <c:v>1665</c:v>
                </c:pt>
                <c:pt idx="5">
                  <c:v>1500</c:v>
                </c:pt>
                <c:pt idx="6">
                  <c:v>1350</c:v>
                </c:pt>
                <c:pt idx="7">
                  <c:v>1200</c:v>
                </c:pt>
                <c:pt idx="8">
                  <c:v>1050</c:v>
                </c:pt>
                <c:pt idx="9">
                  <c:v>992.7</c:v>
                </c:pt>
                <c:pt idx="10" formatCode="0">
                  <c:v>750</c:v>
                </c:pt>
                <c:pt idx="11">
                  <c:v>600</c:v>
                </c:pt>
                <c:pt idx="12">
                  <c:v>450</c:v>
                </c:pt>
                <c:pt idx="13">
                  <c:v>300</c:v>
                </c:pt>
                <c:pt idx="14">
                  <c:v>150</c:v>
                </c:pt>
                <c:pt idx="15">
                  <c:v>0</c:v>
                </c:pt>
              </c:numCache>
            </c:numRef>
          </c:yVal>
          <c:smooth val="1"/>
          <c:extLst>
            <c:ext xmlns:c16="http://schemas.microsoft.com/office/drawing/2014/chart" uri="{C3380CC4-5D6E-409C-BE32-E72D297353CC}">
              <c16:uniqueId val="{00000001-409A-4A70-AEA6-E179E528DCB1}"/>
            </c:ext>
          </c:extLst>
        </c:ser>
        <c:dLbls>
          <c:showLegendKey val="0"/>
          <c:showVal val="0"/>
          <c:showCatName val="0"/>
          <c:showSerName val="0"/>
          <c:showPercent val="0"/>
          <c:showBubbleSize val="0"/>
        </c:dLbls>
        <c:axId val="194860528"/>
        <c:axId val="194861088"/>
      </c:scatterChart>
      <c:valAx>
        <c:axId val="19486052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D"/>
                  <a:t>Q, bfpd</a:t>
                </a:r>
              </a:p>
            </c:rich>
          </c:tx>
          <c:layout>
            <c:manualLayout>
              <c:xMode val="edge"/>
              <c:yMode val="edge"/>
              <c:x val="0.46441441248347187"/>
              <c:y val="0.892262794044094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861088"/>
        <c:crosses val="autoZero"/>
        <c:crossBetween val="midCat"/>
      </c:valAx>
      <c:valAx>
        <c:axId val="194861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D"/>
                  <a:t>Pwf, psi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8605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D"/>
              <a:t>Kurva IPR</a:t>
            </a:r>
            <a:r>
              <a:rPr lang="id-ID" baseline="0"/>
              <a:t> 2 FASA WELL INTB-12</a:t>
            </a:r>
            <a:endParaRPr lang="en-ID"/>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IPR</c:v>
          </c:tx>
          <c:spPr>
            <a:ln w="19050" cap="rnd">
              <a:solidFill>
                <a:schemeClr val="tx1"/>
              </a:solidFill>
              <a:round/>
            </a:ln>
            <a:effectLst/>
          </c:spPr>
          <c:marker>
            <c:symbol val="circle"/>
            <c:size val="5"/>
            <c:spPr>
              <a:solidFill>
                <a:schemeClr val="accent1"/>
              </a:solidFill>
              <a:ln w="9525">
                <a:solidFill>
                  <a:schemeClr val="accent1"/>
                </a:solidFill>
              </a:ln>
              <a:effectLst/>
            </c:spPr>
          </c:marker>
          <c:xVal>
            <c:numRef>
              <c:f>IPR!$C$42:$C$57</c:f>
              <c:numCache>
                <c:formatCode>0</c:formatCode>
                <c:ptCount val="16"/>
                <c:pt idx="0">
                  <c:v>0</c:v>
                </c:pt>
                <c:pt idx="1">
                  <c:v>1099.7975002191195</c:v>
                </c:pt>
                <c:pt idx="2">
                  <c:v>1344.7962750485065</c:v>
                </c:pt>
                <c:pt idx="3">
                  <c:v>2079.7925995366672</c:v>
                </c:pt>
                <c:pt idx="4">
                  <c:v>2741.2892915760117</c:v>
                </c:pt>
                <c:pt idx="5">
                  <c:v>3549.7852485129888</c:v>
                </c:pt>
                <c:pt idx="6">
                  <c:v>4284.7815730011498</c:v>
                </c:pt>
                <c:pt idx="7">
                  <c:v>5019.7778974893099</c:v>
                </c:pt>
                <c:pt idx="8">
                  <c:v>5754.7742219774709</c:v>
                </c:pt>
                <c:pt idx="9">
                  <c:v>6028.7330653189565</c:v>
                </c:pt>
                <c:pt idx="10">
                  <c:v>7038.1011377504501</c:v>
                </c:pt>
                <c:pt idx="11">
                  <c:v>7539.7652957344326</c:v>
                </c:pt>
                <c:pt idx="12">
                  <c:v>7948.0965871167446</c:v>
                </c:pt>
                <c:pt idx="13">
                  <c:v>8263.0950118973851</c:v>
                </c:pt>
                <c:pt idx="14">
                  <c:v>8484.7605700763543</c:v>
                </c:pt>
                <c:pt idx="15">
                  <c:v>8613.093261653652</c:v>
                </c:pt>
              </c:numCache>
            </c:numRef>
          </c:xVal>
          <c:yVal>
            <c:numRef>
              <c:f>IPR!$B$42:$B$57</c:f>
              <c:numCache>
                <c:formatCode>General</c:formatCode>
                <c:ptCount val="16"/>
                <c:pt idx="0" formatCode="0.00">
                  <c:v>2224.4495918367347</c:v>
                </c:pt>
                <c:pt idx="1">
                  <c:v>2000</c:v>
                </c:pt>
                <c:pt idx="2">
                  <c:v>1950</c:v>
                </c:pt>
                <c:pt idx="3">
                  <c:v>1800</c:v>
                </c:pt>
                <c:pt idx="4">
                  <c:v>1665</c:v>
                </c:pt>
                <c:pt idx="5">
                  <c:v>1500</c:v>
                </c:pt>
                <c:pt idx="6">
                  <c:v>1350</c:v>
                </c:pt>
                <c:pt idx="7">
                  <c:v>1200</c:v>
                </c:pt>
                <c:pt idx="8">
                  <c:v>1050</c:v>
                </c:pt>
                <c:pt idx="9">
                  <c:v>992.7</c:v>
                </c:pt>
                <c:pt idx="10" formatCode="0">
                  <c:v>750</c:v>
                </c:pt>
                <c:pt idx="11">
                  <c:v>600</c:v>
                </c:pt>
                <c:pt idx="12">
                  <c:v>450</c:v>
                </c:pt>
                <c:pt idx="13">
                  <c:v>300</c:v>
                </c:pt>
                <c:pt idx="14">
                  <c:v>150</c:v>
                </c:pt>
                <c:pt idx="15">
                  <c:v>0</c:v>
                </c:pt>
              </c:numCache>
            </c:numRef>
          </c:yVal>
          <c:smooth val="1"/>
          <c:extLst>
            <c:ext xmlns:c16="http://schemas.microsoft.com/office/drawing/2014/chart" uri="{C3380CC4-5D6E-409C-BE32-E72D297353CC}">
              <c16:uniqueId val="{00000000-D836-4913-B5F4-A3D6101C9C5C}"/>
            </c:ext>
          </c:extLst>
        </c:ser>
        <c:dLbls>
          <c:showLegendKey val="0"/>
          <c:showVal val="0"/>
          <c:showCatName val="0"/>
          <c:showSerName val="0"/>
          <c:showPercent val="0"/>
          <c:showBubbleSize val="0"/>
        </c:dLbls>
        <c:axId val="194863328"/>
        <c:axId val="194863888"/>
        <c:extLst/>
      </c:scatterChart>
      <c:valAx>
        <c:axId val="194863328"/>
        <c:scaling>
          <c:orientation val="minMax"/>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D"/>
                  <a:t>Q, bfpd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863888"/>
        <c:crosses val="autoZero"/>
        <c:crossBetween val="midCat"/>
        <c:minorUnit val="50"/>
      </c:valAx>
      <c:valAx>
        <c:axId val="194863888"/>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D"/>
                  <a:t>Pwf, psi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86332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r>
              <a:rPr lang="en-ID" b="0"/>
              <a:t>Kurva IPR vs Pump Intake Pressure</a:t>
            </a:r>
            <a:r>
              <a:rPr lang="id-ID" b="0"/>
              <a:t> Berdasarkan Jumlah Stages</a:t>
            </a:r>
            <a:endParaRPr lang="en-ID" b="0"/>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endParaRPr lang="en-US"/>
        </a:p>
      </c:txPr>
    </c:title>
    <c:autoTitleDeleted val="0"/>
    <c:plotArea>
      <c:layout/>
      <c:scatterChart>
        <c:scatterStyle val="smoothMarker"/>
        <c:varyColors val="0"/>
        <c:ser>
          <c:idx val="0"/>
          <c:order val="0"/>
          <c:tx>
            <c:v>IPR</c:v>
          </c:tx>
          <c:spPr>
            <a:ln w="9525" cap="rnd">
              <a:solidFill>
                <a:schemeClr val="accent1"/>
              </a:solid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xVal>
            <c:numRef>
              <c:f>IPR!$C$42:$C$57</c:f>
              <c:numCache>
                <c:formatCode>0</c:formatCode>
                <c:ptCount val="16"/>
                <c:pt idx="0">
                  <c:v>0</c:v>
                </c:pt>
                <c:pt idx="1">
                  <c:v>1099.7975002191195</c:v>
                </c:pt>
                <c:pt idx="2">
                  <c:v>1344.7962750485065</c:v>
                </c:pt>
                <c:pt idx="3">
                  <c:v>2079.7925995366672</c:v>
                </c:pt>
                <c:pt idx="4">
                  <c:v>2741.2892915760117</c:v>
                </c:pt>
                <c:pt idx="5">
                  <c:v>3549.7852485129888</c:v>
                </c:pt>
                <c:pt idx="6">
                  <c:v>4284.7815730011498</c:v>
                </c:pt>
                <c:pt idx="7">
                  <c:v>5019.7778974893099</c:v>
                </c:pt>
                <c:pt idx="8">
                  <c:v>5754.7742219774709</c:v>
                </c:pt>
                <c:pt idx="9">
                  <c:v>6028.7330653189565</c:v>
                </c:pt>
                <c:pt idx="10">
                  <c:v>7038.1011377504501</c:v>
                </c:pt>
                <c:pt idx="11">
                  <c:v>7539.7652957344326</c:v>
                </c:pt>
                <c:pt idx="12">
                  <c:v>7948.0965871167446</c:v>
                </c:pt>
                <c:pt idx="13">
                  <c:v>8263.0950118973851</c:v>
                </c:pt>
                <c:pt idx="14">
                  <c:v>8484.7605700763543</c:v>
                </c:pt>
                <c:pt idx="15">
                  <c:v>8613.093261653652</c:v>
                </c:pt>
              </c:numCache>
            </c:numRef>
          </c:xVal>
          <c:yVal>
            <c:numRef>
              <c:f>IPR!$B$42:$B$57</c:f>
              <c:numCache>
                <c:formatCode>General</c:formatCode>
                <c:ptCount val="16"/>
                <c:pt idx="0" formatCode="0.00">
                  <c:v>2224.4495918367347</c:v>
                </c:pt>
                <c:pt idx="1">
                  <c:v>2000</c:v>
                </c:pt>
                <c:pt idx="2">
                  <c:v>1950</c:v>
                </c:pt>
                <c:pt idx="3">
                  <c:v>1800</c:v>
                </c:pt>
                <c:pt idx="4">
                  <c:v>1665</c:v>
                </c:pt>
                <c:pt idx="5">
                  <c:v>1500</c:v>
                </c:pt>
                <c:pt idx="6">
                  <c:v>1350</c:v>
                </c:pt>
                <c:pt idx="7">
                  <c:v>1200</c:v>
                </c:pt>
                <c:pt idx="8">
                  <c:v>1050</c:v>
                </c:pt>
                <c:pt idx="9">
                  <c:v>992.7</c:v>
                </c:pt>
                <c:pt idx="10" formatCode="0">
                  <c:v>750</c:v>
                </c:pt>
                <c:pt idx="11">
                  <c:v>600</c:v>
                </c:pt>
                <c:pt idx="12">
                  <c:v>450</c:v>
                </c:pt>
                <c:pt idx="13">
                  <c:v>300</c:v>
                </c:pt>
                <c:pt idx="14">
                  <c:v>150</c:v>
                </c:pt>
                <c:pt idx="15">
                  <c:v>0</c:v>
                </c:pt>
              </c:numCache>
            </c:numRef>
          </c:yVal>
          <c:smooth val="1"/>
          <c:extLst>
            <c:ext xmlns:c16="http://schemas.microsoft.com/office/drawing/2014/chart" uri="{C3380CC4-5D6E-409C-BE32-E72D297353CC}">
              <c16:uniqueId val="{00000000-831F-41F1-9680-D944F216114E}"/>
            </c:ext>
          </c:extLst>
        </c:ser>
        <c:ser>
          <c:idx val="1"/>
          <c:order val="1"/>
          <c:tx>
            <c:v>100 stages</c:v>
          </c:tx>
          <c:spPr>
            <a:ln w="9525" cap="rnd">
              <a:solidFill>
                <a:schemeClr val="accent2"/>
              </a:solidFill>
              <a:round/>
            </a:ln>
            <a:effectLst/>
          </c:spPr>
          <c:marker>
            <c:symbol val="circle"/>
            <c:size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c:spPr>
          </c:marker>
          <c:xVal>
            <c:numRef>
              <c:f>'Optimasi Stage'!$B$35:$B$39</c:f>
              <c:numCache>
                <c:formatCode>General</c:formatCode>
                <c:ptCount val="5"/>
                <c:pt idx="0">
                  <c:v>5000</c:v>
                </c:pt>
                <c:pt idx="1">
                  <c:v>5500</c:v>
                </c:pt>
                <c:pt idx="2">
                  <c:v>6000</c:v>
                </c:pt>
                <c:pt idx="3">
                  <c:v>6500</c:v>
                </c:pt>
                <c:pt idx="4">
                  <c:v>6800</c:v>
                </c:pt>
              </c:numCache>
            </c:numRef>
          </c:xVal>
          <c:yVal>
            <c:numRef>
              <c:f>'Optimasi Stage'!$N$35:$N$39</c:f>
              <c:numCache>
                <c:formatCode>0.00</c:formatCode>
                <c:ptCount val="5"/>
                <c:pt idx="0">
                  <c:v>1011.0805292894306</c:v>
                </c:pt>
                <c:pt idx="1">
                  <c:v>1059.0907745689522</c:v>
                </c:pt>
                <c:pt idx="2">
                  <c:v>1123.0771209678746</c:v>
                </c:pt>
                <c:pt idx="3">
                  <c:v>1203.026999973737</c:v>
                </c:pt>
                <c:pt idx="4">
                  <c:v>1245.9521708497243</c:v>
                </c:pt>
              </c:numCache>
            </c:numRef>
          </c:yVal>
          <c:smooth val="1"/>
          <c:extLst>
            <c:ext xmlns:c16="http://schemas.microsoft.com/office/drawing/2014/chart" uri="{C3380CC4-5D6E-409C-BE32-E72D297353CC}">
              <c16:uniqueId val="{00000001-831F-41F1-9680-D944F216114E}"/>
            </c:ext>
          </c:extLst>
        </c:ser>
        <c:ser>
          <c:idx val="2"/>
          <c:order val="2"/>
          <c:tx>
            <c:v>120 stages</c:v>
          </c:tx>
          <c:spPr>
            <a:ln w="9525" cap="rnd">
              <a:solidFill>
                <a:schemeClr val="accent3"/>
              </a:solidFill>
              <a:round/>
            </a:ln>
            <a:effectLst/>
          </c:spPr>
          <c:marker>
            <c:symbol val="circle"/>
            <c:size val="5"/>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c:spPr>
          </c:marker>
          <c:xVal>
            <c:numRef>
              <c:f>'Optimasi Stage'!$B$35:$B$39</c:f>
              <c:numCache>
                <c:formatCode>General</c:formatCode>
                <c:ptCount val="5"/>
                <c:pt idx="0">
                  <c:v>5000</c:v>
                </c:pt>
                <c:pt idx="1">
                  <c:v>5500</c:v>
                </c:pt>
                <c:pt idx="2">
                  <c:v>6000</c:v>
                </c:pt>
                <c:pt idx="3">
                  <c:v>6500</c:v>
                </c:pt>
                <c:pt idx="4">
                  <c:v>6800</c:v>
                </c:pt>
              </c:numCache>
            </c:numRef>
          </c:xVal>
          <c:yVal>
            <c:numRef>
              <c:f>'Optimasi Stage'!$O$35:$O$39</c:f>
              <c:numCache>
                <c:formatCode>0.00</c:formatCode>
                <c:ptCount val="5"/>
                <c:pt idx="0">
                  <c:v>921.57315211018795</c:v>
                </c:pt>
                <c:pt idx="1">
                  <c:v>975.35806688514458</c:v>
                </c:pt>
                <c:pt idx="2">
                  <c:v>1048.0064175272196</c:v>
                </c:pt>
                <c:pt idx="3">
                  <c:v>1139.5056355239519</c:v>
                </c:pt>
                <c:pt idx="4">
                  <c:v>1188.2054758953743</c:v>
                </c:pt>
              </c:numCache>
            </c:numRef>
          </c:yVal>
          <c:smooth val="1"/>
          <c:extLst>
            <c:ext xmlns:c16="http://schemas.microsoft.com/office/drawing/2014/chart" uri="{C3380CC4-5D6E-409C-BE32-E72D297353CC}">
              <c16:uniqueId val="{00000002-831F-41F1-9680-D944F216114E}"/>
            </c:ext>
          </c:extLst>
        </c:ser>
        <c:ser>
          <c:idx val="3"/>
          <c:order val="3"/>
          <c:tx>
            <c:v>146 stages</c:v>
          </c:tx>
          <c:spPr>
            <a:ln w="9525" cap="rnd">
              <a:solidFill>
                <a:schemeClr val="accent4"/>
              </a:solidFill>
              <a:round/>
            </a:ln>
            <a:effectLst/>
          </c:spPr>
          <c:marker>
            <c:symbol val="circle"/>
            <c:size val="5"/>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c:spPr>
          </c:marker>
          <c:xVal>
            <c:numRef>
              <c:f>'Optimasi Stage'!$B$35:$B$39</c:f>
              <c:numCache>
                <c:formatCode>General</c:formatCode>
                <c:ptCount val="5"/>
                <c:pt idx="0">
                  <c:v>5000</c:v>
                </c:pt>
                <c:pt idx="1">
                  <c:v>5500</c:v>
                </c:pt>
                <c:pt idx="2">
                  <c:v>6000</c:v>
                </c:pt>
                <c:pt idx="3">
                  <c:v>6500</c:v>
                </c:pt>
                <c:pt idx="4">
                  <c:v>6800</c:v>
                </c:pt>
              </c:numCache>
            </c:numRef>
          </c:xVal>
          <c:yVal>
            <c:numRef>
              <c:f>'Optimasi Stage'!$P$35:$P$39</c:f>
              <c:numCache>
                <c:formatCode>0.00</c:formatCode>
                <c:ptCount val="5"/>
                <c:pt idx="0">
                  <c:v>805.21356177717257</c:v>
                </c:pt>
                <c:pt idx="1">
                  <c:v>866.50554689619469</c:v>
                </c:pt>
                <c:pt idx="2">
                  <c:v>950.41450305436786</c:v>
                </c:pt>
                <c:pt idx="3">
                  <c:v>1056.9278617392313</c:v>
                </c:pt>
                <c:pt idx="4">
                  <c:v>1113.1347724547193</c:v>
                </c:pt>
              </c:numCache>
            </c:numRef>
          </c:yVal>
          <c:smooth val="1"/>
          <c:extLst>
            <c:ext xmlns:c16="http://schemas.microsoft.com/office/drawing/2014/chart" uri="{C3380CC4-5D6E-409C-BE32-E72D297353CC}">
              <c16:uniqueId val="{00000003-831F-41F1-9680-D944F216114E}"/>
            </c:ext>
          </c:extLst>
        </c:ser>
        <c:ser>
          <c:idx val="4"/>
          <c:order val="4"/>
          <c:tx>
            <c:v>160 stages</c:v>
          </c:tx>
          <c:spPr>
            <a:ln w="9525" cap="rnd">
              <a:solidFill>
                <a:schemeClr val="accent5"/>
              </a:solidFill>
              <a:round/>
            </a:ln>
            <a:effectLst/>
          </c:spPr>
          <c:marker>
            <c:symbol val="circle"/>
            <c:size val="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c:spPr>
          </c:marker>
          <c:xVal>
            <c:numRef>
              <c:f>'Optimasi Stage'!$B$35:$B$39</c:f>
              <c:numCache>
                <c:formatCode>General</c:formatCode>
                <c:ptCount val="5"/>
                <c:pt idx="0">
                  <c:v>5000</c:v>
                </c:pt>
                <c:pt idx="1">
                  <c:v>5500</c:v>
                </c:pt>
                <c:pt idx="2">
                  <c:v>6000</c:v>
                </c:pt>
                <c:pt idx="3">
                  <c:v>6500</c:v>
                </c:pt>
                <c:pt idx="4">
                  <c:v>6800</c:v>
                </c:pt>
              </c:numCache>
            </c:numRef>
          </c:xVal>
          <c:yVal>
            <c:numRef>
              <c:f>'Optimasi Stage'!$Q$35:$Q$39</c:f>
              <c:numCache>
                <c:formatCode>0.00</c:formatCode>
                <c:ptCount val="5"/>
                <c:pt idx="0">
                  <c:v>742.55839775170284</c:v>
                </c:pt>
                <c:pt idx="1">
                  <c:v>807.89265151752943</c:v>
                </c:pt>
                <c:pt idx="2">
                  <c:v>897.86501064590925</c:v>
                </c:pt>
                <c:pt idx="3">
                  <c:v>1012.4629066243817</c:v>
                </c:pt>
                <c:pt idx="4">
                  <c:v>1072.7120859866741</c:v>
                </c:pt>
              </c:numCache>
            </c:numRef>
          </c:yVal>
          <c:smooth val="1"/>
          <c:extLst>
            <c:ext xmlns:c16="http://schemas.microsoft.com/office/drawing/2014/chart" uri="{C3380CC4-5D6E-409C-BE32-E72D297353CC}">
              <c16:uniqueId val="{00000004-831F-41F1-9680-D944F216114E}"/>
            </c:ext>
          </c:extLst>
        </c:ser>
        <c:ser>
          <c:idx val="5"/>
          <c:order val="5"/>
          <c:tx>
            <c:v>180 stages</c:v>
          </c:tx>
          <c:spPr>
            <a:ln w="9525" cap="rnd">
              <a:solidFill>
                <a:schemeClr val="accent6"/>
              </a:solidFill>
              <a:round/>
            </a:ln>
            <a:effectLst/>
          </c:spPr>
          <c:marker>
            <c:symbol val="circle"/>
            <c:size val="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c:spPr>
          </c:marker>
          <c:xVal>
            <c:numRef>
              <c:f>'Optimasi Stage'!$B$35:$B$39</c:f>
              <c:numCache>
                <c:formatCode>General</c:formatCode>
                <c:ptCount val="5"/>
                <c:pt idx="0">
                  <c:v>5000</c:v>
                </c:pt>
                <c:pt idx="1">
                  <c:v>5500</c:v>
                </c:pt>
                <c:pt idx="2">
                  <c:v>6000</c:v>
                </c:pt>
                <c:pt idx="3">
                  <c:v>6500</c:v>
                </c:pt>
                <c:pt idx="4">
                  <c:v>6800</c:v>
                </c:pt>
              </c:numCache>
            </c:numRef>
          </c:xVal>
          <c:yVal>
            <c:numRef>
              <c:f>'Optimasi Stage'!$R$35:$R$39</c:f>
              <c:numCache>
                <c:formatCode>0.00</c:formatCode>
                <c:ptCount val="5"/>
                <c:pt idx="0">
                  <c:v>653.05102057246017</c:v>
                </c:pt>
                <c:pt idx="1">
                  <c:v>724.15994383372185</c:v>
                </c:pt>
                <c:pt idx="2">
                  <c:v>822.7943072052542</c:v>
                </c:pt>
                <c:pt idx="3">
                  <c:v>948.94154217459675</c:v>
                </c:pt>
                <c:pt idx="4">
                  <c:v>1014.9653910323241</c:v>
                </c:pt>
              </c:numCache>
            </c:numRef>
          </c:yVal>
          <c:smooth val="1"/>
          <c:extLst>
            <c:ext xmlns:c16="http://schemas.microsoft.com/office/drawing/2014/chart" uri="{C3380CC4-5D6E-409C-BE32-E72D297353CC}">
              <c16:uniqueId val="{00000005-831F-41F1-9680-D944F216114E}"/>
            </c:ext>
          </c:extLst>
        </c:ser>
        <c:dLbls>
          <c:showLegendKey val="0"/>
          <c:showVal val="0"/>
          <c:showCatName val="0"/>
          <c:showSerName val="0"/>
          <c:showPercent val="0"/>
          <c:showBubbleSize val="0"/>
        </c:dLbls>
        <c:axId val="200270464"/>
        <c:axId val="200271024"/>
      </c:scatterChart>
      <c:valAx>
        <c:axId val="200270464"/>
        <c:scaling>
          <c:orientation val="minMax"/>
          <c:min val="0"/>
        </c:scaling>
        <c:delete val="0"/>
        <c:axPos val="b"/>
        <c:majorGridlines>
          <c:spPr>
            <a:ln w="9525" cap="flat" cmpd="sng" algn="ctr">
              <a:solidFill>
                <a:schemeClr val="tx2">
                  <a:lumMod val="15000"/>
                  <a:lumOff val="85000"/>
                </a:schemeClr>
              </a:solidFill>
              <a:round/>
            </a:ln>
            <a:effectLst/>
          </c:spPr>
        </c:majorGridlines>
        <c:minorGridlines>
          <c:spPr>
            <a:ln>
              <a:noFill/>
            </a:ln>
            <a:effectLst/>
          </c:spPr>
        </c:min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ID"/>
                  <a:t>Q, bfpd</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0271024"/>
        <c:crosses val="autoZero"/>
        <c:crossBetween val="midCat"/>
      </c:valAx>
      <c:valAx>
        <c:axId val="200271024"/>
        <c:scaling>
          <c:orientation val="minMax"/>
          <c:min val="0"/>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ID"/>
                  <a:t>PIP, psi</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02704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D" baseline="0"/>
              <a:t>Kurva IPR vs P</a:t>
            </a:r>
            <a:r>
              <a:rPr lang="id-ID" baseline="0"/>
              <a:t>ump </a:t>
            </a:r>
            <a:r>
              <a:rPr lang="en-ID" baseline="0"/>
              <a:t>I</a:t>
            </a:r>
            <a:r>
              <a:rPr lang="id-ID" baseline="0"/>
              <a:t>ntake </a:t>
            </a:r>
            <a:r>
              <a:rPr lang="en-ID" baseline="0"/>
              <a:t>P</a:t>
            </a:r>
            <a:r>
              <a:rPr lang="id-ID" baseline="0"/>
              <a:t>ressure Berdasarkan Frekuensi</a:t>
            </a:r>
            <a:endParaRPr lang="id-ID"/>
          </a:p>
        </c:rich>
      </c:tx>
      <c:overlay val="0"/>
      <c:spPr>
        <a:noFill/>
        <a:ln>
          <a:noFill/>
        </a:ln>
        <a:effectLst/>
      </c:spPr>
    </c:title>
    <c:autoTitleDeleted val="0"/>
    <c:plotArea>
      <c:layout>
        <c:manualLayout>
          <c:layoutTarget val="inner"/>
          <c:xMode val="edge"/>
          <c:yMode val="edge"/>
          <c:x val="8.8128377311816566E-2"/>
          <c:y val="0.11884728155984045"/>
          <c:w val="0.7279204354529355"/>
          <c:h val="0.74482033369572975"/>
        </c:manualLayout>
      </c:layout>
      <c:scatterChart>
        <c:scatterStyle val="smoothMarker"/>
        <c:varyColors val="0"/>
        <c:ser>
          <c:idx val="0"/>
          <c:order val="0"/>
          <c:tx>
            <c:v>IPR</c:v>
          </c:tx>
          <c:marker>
            <c:symbol val="circle"/>
            <c:size val="5"/>
            <c:spPr>
              <a:solidFill>
                <a:schemeClr val="accent1"/>
              </a:solidFill>
              <a:ln w="9525">
                <a:solidFill>
                  <a:schemeClr val="accent1"/>
                </a:solidFill>
              </a:ln>
              <a:effectLst/>
            </c:spPr>
          </c:marker>
          <c:xVal>
            <c:numRef>
              <c:f>IPR!$C$42:$C$57</c:f>
              <c:numCache>
                <c:formatCode>0</c:formatCode>
                <c:ptCount val="16"/>
                <c:pt idx="0">
                  <c:v>0</c:v>
                </c:pt>
                <c:pt idx="1">
                  <c:v>1099.7975002191195</c:v>
                </c:pt>
                <c:pt idx="2">
                  <c:v>1344.7962750485065</c:v>
                </c:pt>
                <c:pt idx="3">
                  <c:v>2079.7925995366672</c:v>
                </c:pt>
                <c:pt idx="4">
                  <c:v>2741.2892915760117</c:v>
                </c:pt>
                <c:pt idx="5">
                  <c:v>3549.7852485129888</c:v>
                </c:pt>
                <c:pt idx="6">
                  <c:v>4284.7815730011498</c:v>
                </c:pt>
                <c:pt idx="7">
                  <c:v>5019.7778974893099</c:v>
                </c:pt>
                <c:pt idx="8">
                  <c:v>5754.7742219774709</c:v>
                </c:pt>
                <c:pt idx="9">
                  <c:v>6028.7330653189565</c:v>
                </c:pt>
                <c:pt idx="10">
                  <c:v>7038.1011377504501</c:v>
                </c:pt>
                <c:pt idx="11">
                  <c:v>7539.7652957344326</c:v>
                </c:pt>
                <c:pt idx="12">
                  <c:v>7948.0965871167446</c:v>
                </c:pt>
                <c:pt idx="13">
                  <c:v>8263.0950118973851</c:v>
                </c:pt>
                <c:pt idx="14">
                  <c:v>8484.7605700763543</c:v>
                </c:pt>
                <c:pt idx="15">
                  <c:v>8613.093261653652</c:v>
                </c:pt>
              </c:numCache>
            </c:numRef>
          </c:xVal>
          <c:yVal>
            <c:numRef>
              <c:f>IPR!$B$42:$B$57</c:f>
              <c:numCache>
                <c:formatCode>General</c:formatCode>
                <c:ptCount val="16"/>
                <c:pt idx="0" formatCode="0.00">
                  <c:v>2224.4495918367347</c:v>
                </c:pt>
                <c:pt idx="1">
                  <c:v>2000</c:v>
                </c:pt>
                <c:pt idx="2">
                  <c:v>1950</c:v>
                </c:pt>
                <c:pt idx="3">
                  <c:v>1800</c:v>
                </c:pt>
                <c:pt idx="4">
                  <c:v>1665</c:v>
                </c:pt>
                <c:pt idx="5">
                  <c:v>1500</c:v>
                </c:pt>
                <c:pt idx="6">
                  <c:v>1350</c:v>
                </c:pt>
                <c:pt idx="7">
                  <c:v>1200</c:v>
                </c:pt>
                <c:pt idx="8">
                  <c:v>1050</c:v>
                </c:pt>
                <c:pt idx="9">
                  <c:v>992.7</c:v>
                </c:pt>
                <c:pt idx="10" formatCode="0">
                  <c:v>750</c:v>
                </c:pt>
                <c:pt idx="11">
                  <c:v>600</c:v>
                </c:pt>
                <c:pt idx="12">
                  <c:v>450</c:v>
                </c:pt>
                <c:pt idx="13">
                  <c:v>300</c:v>
                </c:pt>
                <c:pt idx="14">
                  <c:v>150</c:v>
                </c:pt>
                <c:pt idx="15">
                  <c:v>0</c:v>
                </c:pt>
              </c:numCache>
            </c:numRef>
          </c:yVal>
          <c:smooth val="1"/>
          <c:extLst>
            <c:ext xmlns:c16="http://schemas.microsoft.com/office/drawing/2014/chart" uri="{C3380CC4-5D6E-409C-BE32-E72D297353CC}">
              <c16:uniqueId val="{00000000-BFE5-405C-91C3-886E5C1347F4}"/>
            </c:ext>
          </c:extLst>
        </c:ser>
        <c:ser>
          <c:idx val="1"/>
          <c:order val="1"/>
          <c:tx>
            <c:v>60 Hz</c:v>
          </c:tx>
          <c:xVal>
            <c:numRef>
              <c:f>'Optimasi Frekuensi (P3)'!$B$35:$B$39</c:f>
              <c:numCache>
                <c:formatCode>General</c:formatCode>
                <c:ptCount val="5"/>
                <c:pt idx="0">
                  <c:v>5000</c:v>
                </c:pt>
                <c:pt idx="1">
                  <c:v>5500</c:v>
                </c:pt>
                <c:pt idx="2">
                  <c:v>6000</c:v>
                </c:pt>
                <c:pt idx="3">
                  <c:v>6500</c:v>
                </c:pt>
                <c:pt idx="4">
                  <c:v>6800</c:v>
                </c:pt>
              </c:numCache>
            </c:numRef>
          </c:xVal>
          <c:yVal>
            <c:numRef>
              <c:f>'Optimasi Frekuensi (P3)'!$T$35:$T$39</c:f>
              <c:numCache>
                <c:formatCode>0.00</c:formatCode>
                <c:ptCount val="5"/>
                <c:pt idx="0">
                  <c:v>800.99805304550523</c:v>
                </c:pt>
                <c:pt idx="1">
                  <c:v>870.72105562786226</c:v>
                </c:pt>
                <c:pt idx="2">
                  <c:v>950.41450305436786</c:v>
                </c:pt>
                <c:pt idx="3">
                  <c:v>1040.0658268125612</c:v>
                </c:pt>
                <c:pt idx="4">
                  <c:v>1129.9968073813893</c:v>
                </c:pt>
              </c:numCache>
            </c:numRef>
          </c:yVal>
          <c:smooth val="1"/>
          <c:extLst>
            <c:ext xmlns:c16="http://schemas.microsoft.com/office/drawing/2014/chart" uri="{C3380CC4-5D6E-409C-BE32-E72D297353CC}">
              <c16:uniqueId val="{00000001-BFE5-405C-91C3-886E5C1347F4}"/>
            </c:ext>
          </c:extLst>
        </c:ser>
        <c:ser>
          <c:idx val="2"/>
          <c:order val="2"/>
          <c:tx>
            <c:v>55 Hz</c:v>
          </c:tx>
          <c:xVal>
            <c:numRef>
              <c:f>'Optimasi Frekuensi (P3)'!$B$35:$B$39</c:f>
              <c:numCache>
                <c:formatCode>General</c:formatCode>
                <c:ptCount val="5"/>
                <c:pt idx="0">
                  <c:v>5000</c:v>
                </c:pt>
                <c:pt idx="1">
                  <c:v>5500</c:v>
                </c:pt>
                <c:pt idx="2">
                  <c:v>6000</c:v>
                </c:pt>
                <c:pt idx="3">
                  <c:v>6500</c:v>
                </c:pt>
                <c:pt idx="4">
                  <c:v>6800</c:v>
                </c:pt>
              </c:numCache>
            </c:numRef>
          </c:xVal>
          <c:yVal>
            <c:numRef>
              <c:f>'Optimasi Frekuensi (P3)'!$S$35:$S$39</c:f>
              <c:numCache>
                <c:formatCode>0.00</c:formatCode>
                <c:ptCount val="5"/>
                <c:pt idx="0">
                  <c:v>952.75636738553703</c:v>
                </c:pt>
                <c:pt idx="1">
                  <c:v>1022.4793699678942</c:v>
                </c:pt>
                <c:pt idx="2">
                  <c:v>1093.7417999310646</c:v>
                </c:pt>
                <c:pt idx="3">
                  <c:v>1217.1171935425984</c:v>
                </c:pt>
                <c:pt idx="4">
                  <c:v>1281.7551217214213</c:v>
                </c:pt>
              </c:numCache>
            </c:numRef>
          </c:yVal>
          <c:smooth val="1"/>
          <c:extLst xmlns:c15="http://schemas.microsoft.com/office/drawing/2012/chart">
            <c:ext xmlns:c16="http://schemas.microsoft.com/office/drawing/2014/chart" uri="{C3380CC4-5D6E-409C-BE32-E72D297353CC}">
              <c16:uniqueId val="{00000002-BFE5-405C-91C3-886E5C1347F4}"/>
            </c:ext>
          </c:extLst>
        </c:ser>
        <c:ser>
          <c:idx val="3"/>
          <c:order val="3"/>
          <c:tx>
            <c:v>50 Hz</c:v>
          </c:tx>
          <c:xVal>
            <c:numRef>
              <c:f>'Optimasi Frekuensi (P3)'!$B$35:$B$39</c:f>
              <c:numCache>
                <c:formatCode>General</c:formatCode>
                <c:ptCount val="5"/>
                <c:pt idx="0">
                  <c:v>5000</c:v>
                </c:pt>
                <c:pt idx="1">
                  <c:v>5500</c:v>
                </c:pt>
                <c:pt idx="2">
                  <c:v>6000</c:v>
                </c:pt>
                <c:pt idx="3">
                  <c:v>6500</c:v>
                </c:pt>
                <c:pt idx="4">
                  <c:v>6800</c:v>
                </c:pt>
              </c:numCache>
            </c:numRef>
          </c:xVal>
          <c:yVal>
            <c:numRef>
              <c:f>'Optimasi Frekuensi (P3)'!$R$35:$R$39</c:f>
              <c:numCache>
                <c:formatCode>0.00</c:formatCode>
                <c:ptCount val="5"/>
                <c:pt idx="0">
                  <c:v>1079.2216293355636</c:v>
                </c:pt>
                <c:pt idx="1">
                  <c:v>1174.2376843079262</c:v>
                </c:pt>
                <c:pt idx="2">
                  <c:v>1245.5001142710967</c:v>
                </c:pt>
                <c:pt idx="3">
                  <c:v>1368.8755078826302</c:v>
                </c:pt>
                <c:pt idx="4">
                  <c:v>1433.5134360614534</c:v>
                </c:pt>
              </c:numCache>
            </c:numRef>
          </c:yVal>
          <c:smooth val="1"/>
          <c:extLst xmlns:c15="http://schemas.microsoft.com/office/drawing/2012/chart">
            <c:ext xmlns:c16="http://schemas.microsoft.com/office/drawing/2014/chart" uri="{C3380CC4-5D6E-409C-BE32-E72D297353CC}">
              <c16:uniqueId val="{00000003-BFE5-405C-91C3-886E5C1347F4}"/>
            </c:ext>
          </c:extLst>
        </c:ser>
        <c:ser>
          <c:idx val="4"/>
          <c:order val="4"/>
          <c:tx>
            <c:v>45 Hz</c:v>
          </c:tx>
          <c:spPr>
            <a:ln>
              <a:solidFill>
                <a:srgbClr val="92D050"/>
              </a:solidFill>
            </a:ln>
          </c:spPr>
          <c:marker>
            <c:spPr>
              <a:ln>
                <a:solidFill>
                  <a:srgbClr val="92D050"/>
                </a:solidFill>
              </a:ln>
            </c:spPr>
          </c:marker>
          <c:xVal>
            <c:numRef>
              <c:f>'Optimasi Frekuensi (P3)'!$B$35:$B$39</c:f>
              <c:numCache>
                <c:formatCode>General</c:formatCode>
                <c:ptCount val="5"/>
                <c:pt idx="0">
                  <c:v>5000</c:v>
                </c:pt>
                <c:pt idx="1">
                  <c:v>5500</c:v>
                </c:pt>
                <c:pt idx="2">
                  <c:v>6000</c:v>
                </c:pt>
                <c:pt idx="3">
                  <c:v>6500</c:v>
                </c:pt>
                <c:pt idx="4">
                  <c:v>6800</c:v>
                </c:pt>
              </c:numCache>
            </c:numRef>
          </c:xVal>
          <c:yVal>
            <c:numRef>
              <c:f>'Optimasi Frekuensi (P3)'!$Q$35:$Q$39</c:f>
              <c:numCache>
                <c:formatCode>0.00</c:formatCode>
                <c:ptCount val="5"/>
                <c:pt idx="0">
                  <c:v>1205.6868912855903</c:v>
                </c:pt>
                <c:pt idx="1">
                  <c:v>1300.7029462579528</c:v>
                </c:pt>
                <c:pt idx="2">
                  <c:v>1397.2584286111287</c:v>
                </c:pt>
                <c:pt idx="3">
                  <c:v>1520.6338222226623</c:v>
                </c:pt>
                <c:pt idx="4">
                  <c:v>1585.2717504014852</c:v>
                </c:pt>
              </c:numCache>
            </c:numRef>
          </c:yVal>
          <c:smooth val="1"/>
          <c:extLst xmlns:c15="http://schemas.microsoft.com/office/drawing/2012/chart">
            <c:ext xmlns:c16="http://schemas.microsoft.com/office/drawing/2014/chart" uri="{C3380CC4-5D6E-409C-BE32-E72D297353CC}">
              <c16:uniqueId val="{00000004-BFE5-405C-91C3-886E5C1347F4}"/>
            </c:ext>
          </c:extLst>
        </c:ser>
        <c:ser>
          <c:idx val="7"/>
          <c:order val="5"/>
          <c:tx>
            <c:v>45 Hz</c:v>
          </c:tx>
          <c:xVal>
            <c:numRef>
              <c:f>'Kurva Frekuensi'!$C$45:$C$51</c:f>
              <c:extLst xmlns:c15="http://schemas.microsoft.com/office/drawing/2012/chart"/>
            </c:numRef>
          </c:xVal>
          <c:yVal>
            <c:numRef>
              <c:f>'Kurva Frekuensi'!$D$45:$D$51</c:f>
              <c:extLst xmlns:c15="http://schemas.microsoft.com/office/drawing/2012/chart"/>
            </c:numRef>
          </c:yVal>
          <c:smooth val="1"/>
          <c:extLst xmlns:c15="http://schemas.microsoft.com/office/drawing/2012/chart">
            <c:ext xmlns:c16="http://schemas.microsoft.com/office/drawing/2014/chart" uri="{C3380CC4-5D6E-409C-BE32-E72D297353CC}">
              <c16:uniqueId val="{00000007-BFE5-405C-91C3-886E5C1347F4}"/>
            </c:ext>
          </c:extLst>
        </c:ser>
        <c:dLbls>
          <c:showLegendKey val="0"/>
          <c:showVal val="0"/>
          <c:showCatName val="0"/>
          <c:showSerName val="0"/>
          <c:showPercent val="0"/>
          <c:showBubbleSize val="0"/>
        </c:dLbls>
        <c:axId val="200440896"/>
        <c:axId val="200441456"/>
        <c:extLst/>
      </c:scatterChart>
      <c:valAx>
        <c:axId val="200440896"/>
        <c:scaling>
          <c:orientation val="minMax"/>
        </c:scaling>
        <c:delete val="0"/>
        <c:axPos val="b"/>
        <c:majorGridlines>
          <c:spPr>
            <a:ln w="9525" cap="flat" cmpd="sng" algn="ctr">
              <a:solidFill>
                <a:schemeClr val="tx1">
                  <a:lumMod val="15000"/>
                  <a:lumOff val="85000"/>
                </a:schemeClr>
              </a:solidFill>
              <a:round/>
            </a:ln>
            <a:effectLst/>
          </c:spPr>
        </c:majorGridlines>
        <c:minorGridlines>
          <c:spPr>
            <a:ln>
              <a:noFill/>
            </a:ln>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d-ID"/>
                  <a:t>Q,</a:t>
                </a:r>
                <a:r>
                  <a:rPr lang="id-ID" baseline="0"/>
                  <a:t> BFPD</a:t>
                </a:r>
                <a:endParaRPr lang="id-ID"/>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0441456"/>
        <c:crosses val="autoZero"/>
        <c:crossBetween val="midCat"/>
        <c:majorUnit val="500"/>
      </c:valAx>
      <c:valAx>
        <c:axId val="200441456"/>
        <c:scaling>
          <c:orientation val="minMax"/>
          <c:max val="3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d-ID"/>
                  <a:t>P</a:t>
                </a:r>
                <a:r>
                  <a:rPr lang="en-ID"/>
                  <a:t>IP</a:t>
                </a:r>
                <a:r>
                  <a:rPr lang="id-ID"/>
                  <a:t>,</a:t>
                </a:r>
                <a:r>
                  <a:rPr lang="id-ID" baseline="0"/>
                  <a:t> Psi</a:t>
                </a:r>
                <a:endParaRPr lang="id-ID"/>
              </a:p>
            </c:rich>
          </c:tx>
          <c:layout>
            <c:manualLayout>
              <c:xMode val="edge"/>
              <c:yMode val="edge"/>
              <c:x val="1.2984377340318997E-2"/>
              <c:y val="0.44403731428327736"/>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0440896"/>
        <c:crosses val="autoZero"/>
        <c:crossBetween val="midCat"/>
        <c:majorUnit val="500"/>
      </c:valAx>
      <c:spPr>
        <a:noFill/>
        <a:ln>
          <a:noFill/>
        </a:ln>
        <a:effectLst/>
      </c:spPr>
    </c:plotArea>
    <c:legend>
      <c:legendPos val="r"/>
      <c:layout>
        <c:manualLayout>
          <c:xMode val="edge"/>
          <c:yMode val="edge"/>
          <c:x val="0.8473645615522174"/>
          <c:y val="0.20769794089168386"/>
          <c:w val="0.12630758033867207"/>
          <c:h val="0.53735780304100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d-ID"/>
              <a:t>Kurva</a:t>
            </a:r>
            <a:r>
              <a:rPr lang="id-ID" baseline="0"/>
              <a:t> Frekuensi</a:t>
            </a:r>
            <a:endParaRPr lang="id-ID"/>
          </a:p>
        </c:rich>
      </c:tx>
      <c:overlay val="0"/>
      <c:spPr>
        <a:noFill/>
        <a:ln>
          <a:noFill/>
        </a:ln>
        <a:effectLst/>
      </c:spPr>
    </c:title>
    <c:autoTitleDeleted val="0"/>
    <c:plotArea>
      <c:layout>
        <c:manualLayout>
          <c:layoutTarget val="inner"/>
          <c:xMode val="edge"/>
          <c:yMode val="edge"/>
          <c:x val="8.8128377311816566E-2"/>
          <c:y val="0.11884728155984045"/>
          <c:w val="0.7279204354529355"/>
          <c:h val="0.74482033369572975"/>
        </c:manualLayout>
      </c:layout>
      <c:scatterChart>
        <c:scatterStyle val="smoothMarker"/>
        <c:varyColors val="0"/>
        <c:ser>
          <c:idx val="0"/>
          <c:order val="0"/>
          <c:tx>
            <c:v>IPR</c:v>
          </c:tx>
          <c:marker>
            <c:symbol val="circle"/>
            <c:size val="5"/>
            <c:spPr>
              <a:solidFill>
                <a:schemeClr val="accent1"/>
              </a:solidFill>
              <a:ln w="9525">
                <a:solidFill>
                  <a:schemeClr val="accent1"/>
                </a:solidFill>
              </a:ln>
              <a:effectLst/>
            </c:spPr>
          </c:marker>
          <c:xVal>
            <c:numRef>
              <c:f>IPR!$C$42:$C$57</c:f>
              <c:numCache>
                <c:formatCode>0</c:formatCode>
                <c:ptCount val="16"/>
                <c:pt idx="0">
                  <c:v>0</c:v>
                </c:pt>
                <c:pt idx="1">
                  <c:v>1099.7975002191195</c:v>
                </c:pt>
                <c:pt idx="2">
                  <c:v>1344.7962750485065</c:v>
                </c:pt>
                <c:pt idx="3">
                  <c:v>2079.7925995366672</c:v>
                </c:pt>
                <c:pt idx="4">
                  <c:v>2741.2892915760117</c:v>
                </c:pt>
                <c:pt idx="5">
                  <c:v>3549.7852485129888</c:v>
                </c:pt>
                <c:pt idx="6">
                  <c:v>4284.7815730011498</c:v>
                </c:pt>
                <c:pt idx="7">
                  <c:v>5019.7778974893099</c:v>
                </c:pt>
                <c:pt idx="8">
                  <c:v>5754.7742219774709</c:v>
                </c:pt>
                <c:pt idx="9">
                  <c:v>6028.7330653189565</c:v>
                </c:pt>
                <c:pt idx="10">
                  <c:v>7038.1011377504501</c:v>
                </c:pt>
                <c:pt idx="11">
                  <c:v>7539.7652957344326</c:v>
                </c:pt>
                <c:pt idx="12">
                  <c:v>7948.0965871167446</c:v>
                </c:pt>
                <c:pt idx="13">
                  <c:v>8263.0950118973851</c:v>
                </c:pt>
                <c:pt idx="14">
                  <c:v>8484.7605700763543</c:v>
                </c:pt>
                <c:pt idx="15">
                  <c:v>8613.093261653652</c:v>
                </c:pt>
              </c:numCache>
            </c:numRef>
          </c:xVal>
          <c:yVal>
            <c:numRef>
              <c:f>IPR!$B$42:$B$57</c:f>
              <c:numCache>
                <c:formatCode>General</c:formatCode>
                <c:ptCount val="16"/>
                <c:pt idx="0" formatCode="0.00">
                  <c:v>2224.4495918367347</c:v>
                </c:pt>
                <c:pt idx="1">
                  <c:v>2000</c:v>
                </c:pt>
                <c:pt idx="2">
                  <c:v>1950</c:v>
                </c:pt>
                <c:pt idx="3">
                  <c:v>1800</c:v>
                </c:pt>
                <c:pt idx="4">
                  <c:v>1665</c:v>
                </c:pt>
                <c:pt idx="5">
                  <c:v>1500</c:v>
                </c:pt>
                <c:pt idx="6">
                  <c:v>1350</c:v>
                </c:pt>
                <c:pt idx="7">
                  <c:v>1200</c:v>
                </c:pt>
                <c:pt idx="8">
                  <c:v>1050</c:v>
                </c:pt>
                <c:pt idx="9">
                  <c:v>992.7</c:v>
                </c:pt>
                <c:pt idx="10" formatCode="0">
                  <c:v>750</c:v>
                </c:pt>
                <c:pt idx="11">
                  <c:v>600</c:v>
                </c:pt>
                <c:pt idx="12">
                  <c:v>450</c:v>
                </c:pt>
                <c:pt idx="13">
                  <c:v>300</c:v>
                </c:pt>
                <c:pt idx="14">
                  <c:v>150</c:v>
                </c:pt>
                <c:pt idx="15">
                  <c:v>0</c:v>
                </c:pt>
              </c:numCache>
            </c:numRef>
          </c:yVal>
          <c:smooth val="1"/>
          <c:extLst>
            <c:ext xmlns:c16="http://schemas.microsoft.com/office/drawing/2014/chart" uri="{C3380CC4-5D6E-409C-BE32-E72D297353CC}">
              <c16:uniqueId val="{00000000-A1E9-43FA-A232-67B92DE1EA82}"/>
            </c:ext>
          </c:extLst>
        </c:ser>
        <c:ser>
          <c:idx val="1"/>
          <c:order val="1"/>
          <c:tx>
            <c:v>60 Hz</c:v>
          </c:tx>
          <c:xVal>
            <c:numRef>
              <c:f>'Kurva Frekuensi'!$C$3:$C$9</c:f>
              <c:numCache>
                <c:formatCode>0</c:formatCode>
                <c:ptCount val="7"/>
                <c:pt idx="0">
                  <c:v>2200</c:v>
                </c:pt>
                <c:pt idx="1">
                  <c:v>2250</c:v>
                </c:pt>
                <c:pt idx="2">
                  <c:v>2300</c:v>
                </c:pt>
                <c:pt idx="3">
                  <c:v>2350</c:v>
                </c:pt>
                <c:pt idx="4">
                  <c:v>2400</c:v>
                </c:pt>
                <c:pt idx="5">
                  <c:v>2450</c:v>
                </c:pt>
                <c:pt idx="6">
                  <c:v>2500</c:v>
                </c:pt>
              </c:numCache>
            </c:numRef>
          </c:xVal>
          <c:yVal>
            <c:numRef>
              <c:f>'Kurva Frekuensi'!$D$3:$D$9</c:f>
              <c:numCache>
                <c:formatCode>0</c:formatCode>
                <c:ptCount val="7"/>
                <c:pt idx="0">
                  <c:v>1561.2065224116136</c:v>
                </c:pt>
                <c:pt idx="1">
                  <c:v>1576.8479795737749</c:v>
                </c:pt>
                <c:pt idx="2">
                  <c:v>1595.3997458885765</c:v>
                </c:pt>
                <c:pt idx="3">
                  <c:v>1616.8617457309006</c:v>
                </c:pt>
                <c:pt idx="4">
                  <c:v>1632.5719011002079</c:v>
                </c:pt>
                <c:pt idx="5">
                  <c:v>1648.3048095178435</c:v>
                </c:pt>
                <c:pt idx="6">
                  <c:v>1664.0604007140591</c:v>
                </c:pt>
              </c:numCache>
            </c:numRef>
          </c:yVal>
          <c:smooth val="1"/>
          <c:extLst>
            <c:ext xmlns:c16="http://schemas.microsoft.com/office/drawing/2014/chart" uri="{C3380CC4-5D6E-409C-BE32-E72D297353CC}">
              <c16:uniqueId val="{00000001-A1E9-43FA-A232-67B92DE1EA82}"/>
            </c:ext>
          </c:extLst>
        </c:ser>
        <c:ser>
          <c:idx val="2"/>
          <c:order val="2"/>
          <c:tx>
            <c:v>58 Hz</c:v>
          </c:tx>
          <c:xVal>
            <c:numRef>
              <c:f>'Kurva Frekuensi'!$C$10:$C$16</c:f>
              <c:numCache>
                <c:formatCode>0</c:formatCode>
                <c:ptCount val="7"/>
                <c:pt idx="0">
                  <c:v>2126.6666666666665</c:v>
                </c:pt>
                <c:pt idx="1">
                  <c:v>2175</c:v>
                </c:pt>
                <c:pt idx="2">
                  <c:v>2223.3333333333335</c:v>
                </c:pt>
                <c:pt idx="3">
                  <c:v>2271.6666666666665</c:v>
                </c:pt>
                <c:pt idx="4">
                  <c:v>2320</c:v>
                </c:pt>
                <c:pt idx="5">
                  <c:v>2368.3333333333335</c:v>
                </c:pt>
                <c:pt idx="6">
                  <c:v>2416.6666666666665</c:v>
                </c:pt>
              </c:numCache>
              <c:extLst xmlns:c15="http://schemas.microsoft.com/office/drawing/2012/chart"/>
            </c:numRef>
          </c:xVal>
          <c:yVal>
            <c:numRef>
              <c:f>'Kurva Frekuensi'!$D$10:$D$16</c:f>
              <c:numCache>
                <c:formatCode>0</c:formatCode>
                <c:ptCount val="7"/>
                <c:pt idx="0">
                  <c:v>1592.2268117269732</c:v>
                </c:pt>
                <c:pt idx="1">
                  <c:v>1606.8486240274678</c:v>
                </c:pt>
                <c:pt idx="2">
                  <c:v>1624.1900679966443</c:v>
                </c:pt>
                <c:pt idx="3">
                  <c:v>1644.2510726067533</c:v>
                </c:pt>
                <c:pt idx="4">
                  <c:v>1658.9374068414691</c:v>
                </c:pt>
                <c:pt idx="5">
                  <c:v>1673.6451109306338</c:v>
                </c:pt>
                <c:pt idx="6">
                  <c:v>1688.3741188763079</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2-A1E9-43FA-A232-67B92DE1EA82}"/>
            </c:ext>
          </c:extLst>
        </c:ser>
        <c:ser>
          <c:idx val="3"/>
          <c:order val="3"/>
          <c:tx>
            <c:v>56 Hz</c:v>
          </c:tx>
          <c:xVal>
            <c:numRef>
              <c:f>'Kurva Frekuensi'!$C$17:$C$23</c:f>
              <c:numCache>
                <c:formatCode>0</c:formatCode>
                <c:ptCount val="7"/>
                <c:pt idx="0">
                  <c:v>2053.3333333333335</c:v>
                </c:pt>
                <c:pt idx="1">
                  <c:v>2100</c:v>
                </c:pt>
                <c:pt idx="2">
                  <c:v>2146.6666666666665</c:v>
                </c:pt>
                <c:pt idx="3">
                  <c:v>2193.3333333333335</c:v>
                </c:pt>
                <c:pt idx="4">
                  <c:v>2240</c:v>
                </c:pt>
                <c:pt idx="5">
                  <c:v>2286.6666666666665</c:v>
                </c:pt>
                <c:pt idx="6">
                  <c:v>2333.3333333333335</c:v>
                </c:pt>
              </c:numCache>
              <c:extLst xmlns:c15="http://schemas.microsoft.com/office/drawing/2012/chart"/>
            </c:numRef>
          </c:xVal>
          <c:yVal>
            <c:numRef>
              <c:f>'Kurva Frekuensi'!$D$17:$D$23</c:f>
              <c:numCache>
                <c:formatCode>0</c:formatCode>
                <c:ptCount val="7"/>
                <c:pt idx="0">
                  <c:v>1622.1869219149407</c:v>
                </c:pt>
                <c:pt idx="1">
                  <c:v>1635.8232866433136</c:v>
                </c:pt>
                <c:pt idx="2">
                  <c:v>1651.9950622025758</c:v>
                </c:pt>
                <c:pt idx="3">
                  <c:v>1670.7021820295404</c:v>
                </c:pt>
                <c:pt idx="4">
                  <c:v>1684.3990130642464</c:v>
                </c:pt>
                <c:pt idx="5">
                  <c:v>1698.1158707175125</c:v>
                </c:pt>
                <c:pt idx="6">
                  <c:v>1711.8526931398028</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3-A1E9-43FA-A232-67B92DE1EA82}"/>
            </c:ext>
          </c:extLst>
        </c:ser>
        <c:ser>
          <c:idx val="4"/>
          <c:order val="4"/>
          <c:tx>
            <c:v>54 Hz</c:v>
          </c:tx>
          <c:xVal>
            <c:numRef>
              <c:f>'Kurva Frekuensi'!$C$24:$C$30</c:f>
              <c:numCache>
                <c:formatCode>0</c:formatCode>
                <c:ptCount val="7"/>
                <c:pt idx="0">
                  <c:v>1980</c:v>
                </c:pt>
                <c:pt idx="1">
                  <c:v>2025</c:v>
                </c:pt>
                <c:pt idx="2">
                  <c:v>2070</c:v>
                </c:pt>
                <c:pt idx="3">
                  <c:v>2115</c:v>
                </c:pt>
                <c:pt idx="4">
                  <c:v>2160</c:v>
                </c:pt>
                <c:pt idx="5">
                  <c:v>2205</c:v>
                </c:pt>
                <c:pt idx="6">
                  <c:v>2250</c:v>
                </c:pt>
              </c:numCache>
              <c:extLst xmlns:c15="http://schemas.microsoft.com/office/drawing/2012/chart"/>
            </c:numRef>
          </c:xVal>
          <c:yVal>
            <c:numRef>
              <c:f>'Kurva Frekuensi'!$D$24:$D$30</c:f>
              <c:numCache>
                <c:formatCode>0</c:formatCode>
                <c:ptCount val="7"/>
                <c:pt idx="0">
                  <c:v>1651.0871160757461</c:v>
                </c:pt>
                <c:pt idx="1">
                  <c:v>1663.7722416904394</c:v>
                </c:pt>
                <c:pt idx="2">
                  <c:v>1678.8150141573824</c:v>
                </c:pt>
                <c:pt idx="3">
                  <c:v>1696.2153712444374</c:v>
                </c:pt>
                <c:pt idx="4">
                  <c:v>1708.9570288194773</c:v>
                </c:pt>
                <c:pt idx="5">
                  <c:v>1721.7174099461101</c:v>
                </c:pt>
                <c:pt idx="6">
                  <c:v>1734.4964567991506</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4-A1E9-43FA-A232-67B92DE1EA82}"/>
            </c:ext>
          </c:extLst>
        </c:ser>
        <c:ser>
          <c:idx val="5"/>
          <c:order val="5"/>
          <c:tx>
            <c:v>52 Hz</c:v>
          </c:tx>
          <c:xVal>
            <c:numRef>
              <c:f>'Kurva Frekuensi'!$C$31:$C$37</c:f>
              <c:numCache>
                <c:formatCode>0</c:formatCode>
                <c:ptCount val="7"/>
                <c:pt idx="0">
                  <c:v>1906.6666666666667</c:v>
                </c:pt>
                <c:pt idx="1">
                  <c:v>1950</c:v>
                </c:pt>
                <c:pt idx="2">
                  <c:v>1993.3333333333335</c:v>
                </c:pt>
                <c:pt idx="3">
                  <c:v>2036.6666666666667</c:v>
                </c:pt>
                <c:pt idx="4">
                  <c:v>2080</c:v>
                </c:pt>
                <c:pt idx="5">
                  <c:v>2123.3333333333335</c:v>
                </c:pt>
                <c:pt idx="6">
                  <c:v>2166.6666666666665</c:v>
                </c:pt>
              </c:numCache>
              <c:extLst xmlns:c15="http://schemas.microsoft.com/office/drawing/2012/chart"/>
            </c:numRef>
          </c:xVal>
          <c:yVal>
            <c:numRef>
              <c:f>'Kurva Frekuensi'!$D$31:$D$37</c:f>
              <c:numCache>
                <c:formatCode>0</c:formatCode>
                <c:ptCount val="7"/>
                <c:pt idx="0">
                  <c:v>1678.9276683494309</c:v>
                </c:pt>
                <c:pt idx="1">
                  <c:v>1690.6957749464382</c:v>
                </c:pt>
                <c:pt idx="2">
                  <c:v>1704.650221498126</c:v>
                </c:pt>
                <c:pt idx="3">
                  <c:v>1720.7909499691675</c:v>
                </c:pt>
                <c:pt idx="4">
                  <c:v>1732.6117761260225</c:v>
                </c:pt>
                <c:pt idx="5">
                  <c:v>1744.4500631562103</c:v>
                </c:pt>
                <c:pt idx="6">
                  <c:v>1756.3057571341551</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5-A1E9-43FA-A232-67B92DE1EA82}"/>
            </c:ext>
          </c:extLst>
        </c:ser>
        <c:ser>
          <c:idx val="6"/>
          <c:order val="6"/>
          <c:tx>
            <c:v>50 Hz</c:v>
          </c:tx>
          <c:xVal>
            <c:numRef>
              <c:f>'Kurva Frekuensi'!$C$38:$C$44</c:f>
              <c:numCache>
                <c:formatCode>0</c:formatCode>
                <c:ptCount val="7"/>
                <c:pt idx="0">
                  <c:v>1833.3333333333335</c:v>
                </c:pt>
                <c:pt idx="1">
                  <c:v>1875</c:v>
                </c:pt>
                <c:pt idx="2">
                  <c:v>1916.6666666666667</c:v>
                </c:pt>
                <c:pt idx="3">
                  <c:v>1958.3333333333335</c:v>
                </c:pt>
                <c:pt idx="4">
                  <c:v>2000</c:v>
                </c:pt>
                <c:pt idx="5">
                  <c:v>2041.6666666666667</c:v>
                </c:pt>
                <c:pt idx="6">
                  <c:v>2083.3333333333335</c:v>
                </c:pt>
              </c:numCache>
            </c:numRef>
          </c:xVal>
          <c:yVal>
            <c:numRef>
              <c:f>'Kurva Frekuensi'!$D$38:$D$44</c:f>
              <c:numCache>
                <c:formatCode>0</c:formatCode>
                <c:ptCount val="7"/>
                <c:pt idx="0">
                  <c:v>1705.7088648149979</c:v>
                </c:pt>
                <c:pt idx="1">
                  <c:v>1716.5941846346861</c:v>
                </c:pt>
                <c:pt idx="2">
                  <c:v>1729.5009948241434</c:v>
                </c:pt>
                <c:pt idx="3">
                  <c:v>1744.4292414098468</c:v>
                </c:pt>
                <c:pt idx="4">
                  <c:v>1755.3635910268601</c:v>
                </c:pt>
                <c:pt idx="5">
                  <c:v>1766.3141794570015</c:v>
                </c:pt>
                <c:pt idx="6">
                  <c:v>1777.2809565488672</c:v>
                </c:pt>
              </c:numCache>
            </c:numRef>
          </c:yVal>
          <c:smooth val="1"/>
          <c:extLst>
            <c:ext xmlns:c16="http://schemas.microsoft.com/office/drawing/2014/chart" uri="{C3380CC4-5D6E-409C-BE32-E72D297353CC}">
              <c16:uniqueId val="{00000006-A1E9-43FA-A232-67B92DE1EA82}"/>
            </c:ext>
          </c:extLst>
        </c:ser>
        <c:ser>
          <c:idx val="7"/>
          <c:order val="7"/>
          <c:tx>
            <c:v>45 Hz</c:v>
          </c:tx>
          <c:xVal>
            <c:numRef>
              <c:f>'Kurva Frekuensi'!$C$45:$C$51</c:f>
              <c:extLst xmlns:c15="http://schemas.microsoft.com/office/drawing/2012/chart"/>
            </c:numRef>
          </c:xVal>
          <c:yVal>
            <c:numRef>
              <c:f>'Kurva Frekuensi'!$D$45:$D$51</c:f>
              <c:extLst xmlns:c15="http://schemas.microsoft.com/office/drawing/2012/chart"/>
            </c:numRef>
          </c:yVal>
          <c:smooth val="1"/>
          <c:extLst xmlns:c15="http://schemas.microsoft.com/office/drawing/2012/chart">
            <c:ext xmlns:c16="http://schemas.microsoft.com/office/drawing/2014/chart" uri="{C3380CC4-5D6E-409C-BE32-E72D297353CC}">
              <c16:uniqueId val="{00000007-A1E9-43FA-A232-67B92DE1EA82}"/>
            </c:ext>
          </c:extLst>
        </c:ser>
        <c:dLbls>
          <c:showLegendKey val="0"/>
          <c:showVal val="0"/>
          <c:showCatName val="0"/>
          <c:showSerName val="0"/>
          <c:showPercent val="0"/>
          <c:showBubbleSize val="0"/>
        </c:dLbls>
        <c:axId val="200719152"/>
        <c:axId val="200719712"/>
        <c:extLst/>
      </c:scatterChart>
      <c:valAx>
        <c:axId val="200719152"/>
        <c:scaling>
          <c:orientation val="minMax"/>
        </c:scaling>
        <c:delete val="0"/>
        <c:axPos val="b"/>
        <c:majorGridlines>
          <c:spPr>
            <a:ln w="9525" cap="flat" cmpd="sng" algn="ctr">
              <a:solidFill>
                <a:schemeClr val="tx1">
                  <a:lumMod val="15000"/>
                  <a:lumOff val="85000"/>
                </a:schemeClr>
              </a:solidFill>
              <a:round/>
            </a:ln>
            <a:effectLst/>
          </c:spPr>
        </c:majorGridlines>
        <c:minorGridlines>
          <c:spPr>
            <a:ln>
              <a:noFill/>
            </a:ln>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d-ID"/>
                  <a:t>Q,</a:t>
                </a:r>
                <a:r>
                  <a:rPr lang="id-ID" baseline="0"/>
                  <a:t> BFPD</a:t>
                </a:r>
                <a:endParaRPr lang="id-ID"/>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0719712"/>
        <c:crosses val="autoZero"/>
        <c:crossBetween val="midCat"/>
        <c:majorUnit val="500"/>
      </c:valAx>
      <c:valAx>
        <c:axId val="200719712"/>
        <c:scaling>
          <c:orientation val="minMax"/>
          <c:max val="3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d-ID"/>
                  <a:t>P</a:t>
                </a:r>
                <a:r>
                  <a:rPr lang="en-ID"/>
                  <a:t>IP</a:t>
                </a:r>
                <a:r>
                  <a:rPr lang="id-ID"/>
                  <a:t>,</a:t>
                </a:r>
                <a:r>
                  <a:rPr lang="id-ID" baseline="0"/>
                  <a:t> Psi</a:t>
                </a:r>
                <a:endParaRPr lang="id-ID"/>
              </a:p>
            </c:rich>
          </c:tx>
          <c:layout>
            <c:manualLayout>
              <c:xMode val="edge"/>
              <c:yMode val="edge"/>
              <c:x val="1.2984377340318997E-2"/>
              <c:y val="0.44403731428327736"/>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0719152"/>
        <c:crosses val="autoZero"/>
        <c:crossBetween val="midCat"/>
        <c:majorUnit val="500"/>
      </c:valAx>
      <c:spPr>
        <a:noFill/>
        <a:ln>
          <a:noFill/>
        </a:ln>
        <a:effectLst/>
      </c:spPr>
    </c:plotArea>
    <c:legend>
      <c:legendPos val="r"/>
      <c:layout>
        <c:manualLayout>
          <c:xMode val="edge"/>
          <c:yMode val="edge"/>
          <c:x val="0.8473645615522174"/>
          <c:y val="0.20769794089168386"/>
          <c:w val="0.12630758033867207"/>
          <c:h val="0.53735780304100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d-ID"/>
              <a:t>Kurva</a:t>
            </a:r>
            <a:r>
              <a:rPr lang="id-ID" baseline="0"/>
              <a:t> Frekuensi</a:t>
            </a:r>
            <a:endParaRPr lang="id-ID"/>
          </a:p>
        </c:rich>
      </c:tx>
      <c:overlay val="0"/>
      <c:spPr>
        <a:noFill/>
        <a:ln>
          <a:noFill/>
        </a:ln>
        <a:effectLst/>
      </c:spPr>
    </c:title>
    <c:autoTitleDeleted val="0"/>
    <c:plotArea>
      <c:layout>
        <c:manualLayout>
          <c:layoutTarget val="inner"/>
          <c:xMode val="edge"/>
          <c:yMode val="edge"/>
          <c:x val="8.8128377311816566E-2"/>
          <c:y val="0.11884728155984045"/>
          <c:w val="0.7279204354529355"/>
          <c:h val="0.74482033369572975"/>
        </c:manualLayout>
      </c:layout>
      <c:scatterChart>
        <c:scatterStyle val="smoothMarker"/>
        <c:varyColors val="0"/>
        <c:ser>
          <c:idx val="0"/>
          <c:order val="0"/>
          <c:tx>
            <c:v>IPR</c:v>
          </c:tx>
          <c:marker>
            <c:symbol val="circle"/>
            <c:size val="5"/>
            <c:spPr>
              <a:solidFill>
                <a:schemeClr val="accent1"/>
              </a:solidFill>
              <a:ln w="9525">
                <a:solidFill>
                  <a:schemeClr val="accent1"/>
                </a:solidFill>
              </a:ln>
              <a:effectLst/>
            </c:spPr>
          </c:marker>
          <c:xVal>
            <c:numRef>
              <c:f>IPR!$C$42:$C$57</c:f>
              <c:numCache>
                <c:formatCode>0</c:formatCode>
                <c:ptCount val="16"/>
                <c:pt idx="0">
                  <c:v>0</c:v>
                </c:pt>
                <c:pt idx="1">
                  <c:v>1099.7975002191195</c:v>
                </c:pt>
                <c:pt idx="2">
                  <c:v>1344.7962750485065</c:v>
                </c:pt>
                <c:pt idx="3">
                  <c:v>2079.7925995366672</c:v>
                </c:pt>
                <c:pt idx="4">
                  <c:v>2741.2892915760117</c:v>
                </c:pt>
                <c:pt idx="5">
                  <c:v>3549.7852485129888</c:v>
                </c:pt>
                <c:pt idx="6">
                  <c:v>4284.7815730011498</c:v>
                </c:pt>
                <c:pt idx="7">
                  <c:v>5019.7778974893099</c:v>
                </c:pt>
                <c:pt idx="8">
                  <c:v>5754.7742219774709</c:v>
                </c:pt>
                <c:pt idx="9">
                  <c:v>6028.7330653189565</c:v>
                </c:pt>
                <c:pt idx="10">
                  <c:v>7038.1011377504501</c:v>
                </c:pt>
                <c:pt idx="11">
                  <c:v>7539.7652957344326</c:v>
                </c:pt>
                <c:pt idx="12">
                  <c:v>7948.0965871167446</c:v>
                </c:pt>
                <c:pt idx="13">
                  <c:v>8263.0950118973851</c:v>
                </c:pt>
                <c:pt idx="14">
                  <c:v>8484.7605700763543</c:v>
                </c:pt>
                <c:pt idx="15">
                  <c:v>8613.093261653652</c:v>
                </c:pt>
              </c:numCache>
            </c:numRef>
          </c:xVal>
          <c:yVal>
            <c:numRef>
              <c:f>IPR!$B$42:$B$57</c:f>
              <c:numCache>
                <c:formatCode>General</c:formatCode>
                <c:ptCount val="16"/>
                <c:pt idx="0" formatCode="0.00">
                  <c:v>2224.4495918367347</c:v>
                </c:pt>
                <c:pt idx="1">
                  <c:v>2000</c:v>
                </c:pt>
                <c:pt idx="2">
                  <c:v>1950</c:v>
                </c:pt>
                <c:pt idx="3">
                  <c:v>1800</c:v>
                </c:pt>
                <c:pt idx="4">
                  <c:v>1665</c:v>
                </c:pt>
                <c:pt idx="5">
                  <c:v>1500</c:v>
                </c:pt>
                <c:pt idx="6">
                  <c:v>1350</c:v>
                </c:pt>
                <c:pt idx="7">
                  <c:v>1200</c:v>
                </c:pt>
                <c:pt idx="8">
                  <c:v>1050</c:v>
                </c:pt>
                <c:pt idx="9">
                  <c:v>992.7</c:v>
                </c:pt>
                <c:pt idx="10" formatCode="0">
                  <c:v>750</c:v>
                </c:pt>
                <c:pt idx="11">
                  <c:v>600</c:v>
                </c:pt>
                <c:pt idx="12">
                  <c:v>450</c:v>
                </c:pt>
                <c:pt idx="13">
                  <c:v>300</c:v>
                </c:pt>
                <c:pt idx="14">
                  <c:v>150</c:v>
                </c:pt>
                <c:pt idx="15">
                  <c:v>0</c:v>
                </c:pt>
              </c:numCache>
            </c:numRef>
          </c:yVal>
          <c:smooth val="1"/>
          <c:extLst>
            <c:ext xmlns:c16="http://schemas.microsoft.com/office/drawing/2014/chart" uri="{C3380CC4-5D6E-409C-BE32-E72D297353CC}">
              <c16:uniqueId val="{00000000-BB3F-4760-82E3-581E2B200F80}"/>
            </c:ext>
          </c:extLst>
        </c:ser>
        <c:ser>
          <c:idx val="1"/>
          <c:order val="1"/>
          <c:tx>
            <c:v>60 Hz</c:v>
          </c:tx>
          <c:xVal>
            <c:numRef>
              <c:f>'Kurva Frekuensi'!$C$3:$C$9</c:f>
              <c:numCache>
                <c:formatCode>0</c:formatCode>
                <c:ptCount val="7"/>
                <c:pt idx="0">
                  <c:v>2200</c:v>
                </c:pt>
                <c:pt idx="1">
                  <c:v>2250</c:v>
                </c:pt>
                <c:pt idx="2">
                  <c:v>2300</c:v>
                </c:pt>
                <c:pt idx="3">
                  <c:v>2350</c:v>
                </c:pt>
                <c:pt idx="4">
                  <c:v>2400</c:v>
                </c:pt>
                <c:pt idx="5">
                  <c:v>2450</c:v>
                </c:pt>
                <c:pt idx="6">
                  <c:v>2500</c:v>
                </c:pt>
              </c:numCache>
            </c:numRef>
          </c:xVal>
          <c:yVal>
            <c:numRef>
              <c:f>'Kurva Frekuensi'!$D$3:$D$9</c:f>
              <c:numCache>
                <c:formatCode>0</c:formatCode>
                <c:ptCount val="7"/>
                <c:pt idx="0">
                  <c:v>1561.2065224116136</c:v>
                </c:pt>
                <c:pt idx="1">
                  <c:v>1576.8479795737749</c:v>
                </c:pt>
                <c:pt idx="2">
                  <c:v>1595.3997458885765</c:v>
                </c:pt>
                <c:pt idx="3">
                  <c:v>1616.8617457309006</c:v>
                </c:pt>
                <c:pt idx="4">
                  <c:v>1632.5719011002079</c:v>
                </c:pt>
                <c:pt idx="5">
                  <c:v>1648.3048095178435</c:v>
                </c:pt>
                <c:pt idx="6">
                  <c:v>1664.0604007140591</c:v>
                </c:pt>
              </c:numCache>
            </c:numRef>
          </c:yVal>
          <c:smooth val="1"/>
          <c:extLst>
            <c:ext xmlns:c16="http://schemas.microsoft.com/office/drawing/2014/chart" uri="{C3380CC4-5D6E-409C-BE32-E72D297353CC}">
              <c16:uniqueId val="{00000001-BB3F-4760-82E3-581E2B200F80}"/>
            </c:ext>
          </c:extLst>
        </c:ser>
        <c:ser>
          <c:idx val="2"/>
          <c:order val="2"/>
          <c:tx>
            <c:v>58 Hz</c:v>
          </c:tx>
          <c:xVal>
            <c:numRef>
              <c:f>'Kurva Frekuensi'!$C$10:$C$16</c:f>
              <c:numCache>
                <c:formatCode>0</c:formatCode>
                <c:ptCount val="7"/>
                <c:pt idx="0">
                  <c:v>2126.6666666666665</c:v>
                </c:pt>
                <c:pt idx="1">
                  <c:v>2175</c:v>
                </c:pt>
                <c:pt idx="2">
                  <c:v>2223.3333333333335</c:v>
                </c:pt>
                <c:pt idx="3">
                  <c:v>2271.6666666666665</c:v>
                </c:pt>
                <c:pt idx="4">
                  <c:v>2320</c:v>
                </c:pt>
                <c:pt idx="5">
                  <c:v>2368.3333333333335</c:v>
                </c:pt>
                <c:pt idx="6">
                  <c:v>2416.6666666666665</c:v>
                </c:pt>
              </c:numCache>
              <c:extLst xmlns:c15="http://schemas.microsoft.com/office/drawing/2012/chart"/>
            </c:numRef>
          </c:xVal>
          <c:yVal>
            <c:numRef>
              <c:f>'Kurva Frekuensi'!$D$10:$D$16</c:f>
              <c:numCache>
                <c:formatCode>0</c:formatCode>
                <c:ptCount val="7"/>
                <c:pt idx="0">
                  <c:v>1592.2268117269732</c:v>
                </c:pt>
                <c:pt idx="1">
                  <c:v>1606.8486240274678</c:v>
                </c:pt>
                <c:pt idx="2">
                  <c:v>1624.1900679966443</c:v>
                </c:pt>
                <c:pt idx="3">
                  <c:v>1644.2510726067533</c:v>
                </c:pt>
                <c:pt idx="4">
                  <c:v>1658.9374068414691</c:v>
                </c:pt>
                <c:pt idx="5">
                  <c:v>1673.6451109306338</c:v>
                </c:pt>
                <c:pt idx="6">
                  <c:v>1688.3741188763079</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2-BB3F-4760-82E3-581E2B200F80}"/>
            </c:ext>
          </c:extLst>
        </c:ser>
        <c:ser>
          <c:idx val="3"/>
          <c:order val="3"/>
          <c:tx>
            <c:v>56 Hz</c:v>
          </c:tx>
          <c:xVal>
            <c:numRef>
              <c:f>'Kurva Frekuensi'!$C$17:$C$23</c:f>
              <c:numCache>
                <c:formatCode>0</c:formatCode>
                <c:ptCount val="7"/>
                <c:pt idx="0">
                  <c:v>2053.3333333333335</c:v>
                </c:pt>
                <c:pt idx="1">
                  <c:v>2100</c:v>
                </c:pt>
                <c:pt idx="2">
                  <c:v>2146.6666666666665</c:v>
                </c:pt>
                <c:pt idx="3">
                  <c:v>2193.3333333333335</c:v>
                </c:pt>
                <c:pt idx="4">
                  <c:v>2240</c:v>
                </c:pt>
                <c:pt idx="5">
                  <c:v>2286.6666666666665</c:v>
                </c:pt>
                <c:pt idx="6">
                  <c:v>2333.3333333333335</c:v>
                </c:pt>
              </c:numCache>
              <c:extLst xmlns:c15="http://schemas.microsoft.com/office/drawing/2012/chart"/>
            </c:numRef>
          </c:xVal>
          <c:yVal>
            <c:numRef>
              <c:f>'Kurva Frekuensi'!$D$17:$D$23</c:f>
              <c:numCache>
                <c:formatCode>0</c:formatCode>
                <c:ptCount val="7"/>
                <c:pt idx="0">
                  <c:v>1622.1869219149407</c:v>
                </c:pt>
                <c:pt idx="1">
                  <c:v>1635.8232866433136</c:v>
                </c:pt>
                <c:pt idx="2">
                  <c:v>1651.9950622025758</c:v>
                </c:pt>
                <c:pt idx="3">
                  <c:v>1670.7021820295404</c:v>
                </c:pt>
                <c:pt idx="4">
                  <c:v>1684.3990130642464</c:v>
                </c:pt>
                <c:pt idx="5">
                  <c:v>1698.1158707175125</c:v>
                </c:pt>
                <c:pt idx="6">
                  <c:v>1711.8526931398028</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3-BB3F-4760-82E3-581E2B200F80}"/>
            </c:ext>
          </c:extLst>
        </c:ser>
        <c:ser>
          <c:idx val="4"/>
          <c:order val="4"/>
          <c:tx>
            <c:v>54 Hz</c:v>
          </c:tx>
          <c:xVal>
            <c:numRef>
              <c:f>'Kurva Frekuensi'!$C$24:$C$30</c:f>
              <c:numCache>
                <c:formatCode>0</c:formatCode>
                <c:ptCount val="7"/>
                <c:pt idx="0">
                  <c:v>1980</c:v>
                </c:pt>
                <c:pt idx="1">
                  <c:v>2025</c:v>
                </c:pt>
                <c:pt idx="2">
                  <c:v>2070</c:v>
                </c:pt>
                <c:pt idx="3">
                  <c:v>2115</c:v>
                </c:pt>
                <c:pt idx="4">
                  <c:v>2160</c:v>
                </c:pt>
                <c:pt idx="5">
                  <c:v>2205</c:v>
                </c:pt>
                <c:pt idx="6">
                  <c:v>2250</c:v>
                </c:pt>
              </c:numCache>
              <c:extLst xmlns:c15="http://schemas.microsoft.com/office/drawing/2012/chart"/>
            </c:numRef>
          </c:xVal>
          <c:yVal>
            <c:numRef>
              <c:f>'Kurva Frekuensi'!$D$24:$D$30</c:f>
              <c:numCache>
                <c:formatCode>0</c:formatCode>
                <c:ptCount val="7"/>
                <c:pt idx="0">
                  <c:v>1651.0871160757461</c:v>
                </c:pt>
                <c:pt idx="1">
                  <c:v>1663.7722416904394</c:v>
                </c:pt>
                <c:pt idx="2">
                  <c:v>1678.8150141573824</c:v>
                </c:pt>
                <c:pt idx="3">
                  <c:v>1696.2153712444374</c:v>
                </c:pt>
                <c:pt idx="4">
                  <c:v>1708.9570288194773</c:v>
                </c:pt>
                <c:pt idx="5">
                  <c:v>1721.7174099461101</c:v>
                </c:pt>
                <c:pt idx="6">
                  <c:v>1734.4964567991506</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4-BB3F-4760-82E3-581E2B200F80}"/>
            </c:ext>
          </c:extLst>
        </c:ser>
        <c:ser>
          <c:idx val="5"/>
          <c:order val="5"/>
          <c:tx>
            <c:v>52 Hz</c:v>
          </c:tx>
          <c:xVal>
            <c:numRef>
              <c:f>'Kurva Frekuensi'!$C$31:$C$37</c:f>
              <c:numCache>
                <c:formatCode>0</c:formatCode>
                <c:ptCount val="7"/>
                <c:pt idx="0">
                  <c:v>1906.6666666666667</c:v>
                </c:pt>
                <c:pt idx="1">
                  <c:v>1950</c:v>
                </c:pt>
                <c:pt idx="2">
                  <c:v>1993.3333333333335</c:v>
                </c:pt>
                <c:pt idx="3">
                  <c:v>2036.6666666666667</c:v>
                </c:pt>
                <c:pt idx="4">
                  <c:v>2080</c:v>
                </c:pt>
                <c:pt idx="5">
                  <c:v>2123.3333333333335</c:v>
                </c:pt>
                <c:pt idx="6">
                  <c:v>2166.6666666666665</c:v>
                </c:pt>
              </c:numCache>
              <c:extLst xmlns:c15="http://schemas.microsoft.com/office/drawing/2012/chart"/>
            </c:numRef>
          </c:xVal>
          <c:yVal>
            <c:numRef>
              <c:f>'Kurva Frekuensi'!$D$31:$D$37</c:f>
              <c:numCache>
                <c:formatCode>0</c:formatCode>
                <c:ptCount val="7"/>
                <c:pt idx="0">
                  <c:v>1678.9276683494309</c:v>
                </c:pt>
                <c:pt idx="1">
                  <c:v>1690.6957749464382</c:v>
                </c:pt>
                <c:pt idx="2">
                  <c:v>1704.650221498126</c:v>
                </c:pt>
                <c:pt idx="3">
                  <c:v>1720.7909499691675</c:v>
                </c:pt>
                <c:pt idx="4">
                  <c:v>1732.6117761260225</c:v>
                </c:pt>
                <c:pt idx="5">
                  <c:v>1744.4500631562103</c:v>
                </c:pt>
                <c:pt idx="6">
                  <c:v>1756.3057571341551</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5-BB3F-4760-82E3-581E2B200F80}"/>
            </c:ext>
          </c:extLst>
        </c:ser>
        <c:ser>
          <c:idx val="6"/>
          <c:order val="6"/>
          <c:tx>
            <c:v>50 Hz</c:v>
          </c:tx>
          <c:xVal>
            <c:numRef>
              <c:f>'Kurva Frekuensi'!$C$38:$C$44</c:f>
              <c:numCache>
                <c:formatCode>0</c:formatCode>
                <c:ptCount val="7"/>
                <c:pt idx="0">
                  <c:v>1833.3333333333335</c:v>
                </c:pt>
                <c:pt idx="1">
                  <c:v>1875</c:v>
                </c:pt>
                <c:pt idx="2">
                  <c:v>1916.6666666666667</c:v>
                </c:pt>
                <c:pt idx="3">
                  <c:v>1958.3333333333335</c:v>
                </c:pt>
                <c:pt idx="4">
                  <c:v>2000</c:v>
                </c:pt>
                <c:pt idx="5">
                  <c:v>2041.6666666666667</c:v>
                </c:pt>
                <c:pt idx="6">
                  <c:v>2083.3333333333335</c:v>
                </c:pt>
              </c:numCache>
            </c:numRef>
          </c:xVal>
          <c:yVal>
            <c:numRef>
              <c:f>'Kurva Frekuensi'!$D$38:$D$44</c:f>
              <c:numCache>
                <c:formatCode>0</c:formatCode>
                <c:ptCount val="7"/>
                <c:pt idx="0">
                  <c:v>1705.7088648149979</c:v>
                </c:pt>
                <c:pt idx="1">
                  <c:v>1716.5941846346861</c:v>
                </c:pt>
                <c:pt idx="2">
                  <c:v>1729.5009948241434</c:v>
                </c:pt>
                <c:pt idx="3">
                  <c:v>1744.4292414098468</c:v>
                </c:pt>
                <c:pt idx="4">
                  <c:v>1755.3635910268601</c:v>
                </c:pt>
                <c:pt idx="5">
                  <c:v>1766.3141794570015</c:v>
                </c:pt>
                <c:pt idx="6">
                  <c:v>1777.2809565488672</c:v>
                </c:pt>
              </c:numCache>
            </c:numRef>
          </c:yVal>
          <c:smooth val="1"/>
          <c:extLst>
            <c:ext xmlns:c16="http://schemas.microsoft.com/office/drawing/2014/chart" uri="{C3380CC4-5D6E-409C-BE32-E72D297353CC}">
              <c16:uniqueId val="{00000006-BB3F-4760-82E3-581E2B200F80}"/>
            </c:ext>
          </c:extLst>
        </c:ser>
        <c:ser>
          <c:idx val="7"/>
          <c:order val="7"/>
          <c:tx>
            <c:v>45 Hz</c:v>
          </c:tx>
          <c:xVal>
            <c:numRef>
              <c:f>'Kurva Frekuensi'!$C$45:$C$51</c:f>
              <c:extLst xmlns:c15="http://schemas.microsoft.com/office/drawing/2012/chart"/>
            </c:numRef>
          </c:xVal>
          <c:yVal>
            <c:numRef>
              <c:f>'Kurva Frekuensi'!$D$45:$D$51</c:f>
              <c:extLst xmlns:c15="http://schemas.microsoft.com/office/drawing/2012/chart"/>
            </c:numRef>
          </c:yVal>
          <c:smooth val="1"/>
          <c:extLst xmlns:c15="http://schemas.microsoft.com/office/drawing/2012/chart">
            <c:ext xmlns:c16="http://schemas.microsoft.com/office/drawing/2014/chart" uri="{C3380CC4-5D6E-409C-BE32-E72D297353CC}">
              <c16:uniqueId val="{00000007-BB3F-4760-82E3-581E2B200F80}"/>
            </c:ext>
          </c:extLst>
        </c:ser>
        <c:dLbls>
          <c:showLegendKey val="0"/>
          <c:showVal val="0"/>
          <c:showCatName val="0"/>
          <c:showSerName val="0"/>
          <c:showPercent val="0"/>
          <c:showBubbleSize val="0"/>
        </c:dLbls>
        <c:axId val="200726432"/>
        <c:axId val="201450064"/>
        <c:extLst/>
      </c:scatterChart>
      <c:valAx>
        <c:axId val="200726432"/>
        <c:scaling>
          <c:orientation val="minMax"/>
        </c:scaling>
        <c:delete val="0"/>
        <c:axPos val="b"/>
        <c:majorGridlines>
          <c:spPr>
            <a:ln w="9525" cap="flat" cmpd="sng" algn="ctr">
              <a:solidFill>
                <a:schemeClr val="tx1">
                  <a:lumMod val="15000"/>
                  <a:lumOff val="85000"/>
                </a:schemeClr>
              </a:solidFill>
              <a:round/>
            </a:ln>
            <a:effectLst/>
          </c:spPr>
        </c:majorGridlines>
        <c:minorGridlines>
          <c:spPr>
            <a:ln>
              <a:noFill/>
            </a:ln>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d-ID"/>
                  <a:t>Q,</a:t>
                </a:r>
                <a:r>
                  <a:rPr lang="id-ID" baseline="0"/>
                  <a:t> BFPD</a:t>
                </a:r>
                <a:endParaRPr lang="id-ID"/>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1450064"/>
        <c:crosses val="autoZero"/>
        <c:crossBetween val="midCat"/>
        <c:majorUnit val="500"/>
      </c:valAx>
      <c:valAx>
        <c:axId val="201450064"/>
        <c:scaling>
          <c:orientation val="minMax"/>
          <c:max val="3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d-ID"/>
                  <a:t>P</a:t>
                </a:r>
                <a:r>
                  <a:rPr lang="en-ID"/>
                  <a:t>IP</a:t>
                </a:r>
                <a:r>
                  <a:rPr lang="id-ID"/>
                  <a:t>,</a:t>
                </a:r>
                <a:r>
                  <a:rPr lang="id-ID" baseline="0"/>
                  <a:t> Psi</a:t>
                </a:r>
                <a:endParaRPr lang="id-ID"/>
              </a:p>
            </c:rich>
          </c:tx>
          <c:layout>
            <c:manualLayout>
              <c:xMode val="edge"/>
              <c:yMode val="edge"/>
              <c:x val="1.2984377340318997E-2"/>
              <c:y val="0.44403731428327736"/>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0726432"/>
        <c:crosses val="autoZero"/>
        <c:crossBetween val="midCat"/>
        <c:majorUnit val="500"/>
      </c:valAx>
      <c:spPr>
        <a:noFill/>
        <a:ln>
          <a:noFill/>
        </a:ln>
        <a:effectLst/>
      </c:spPr>
    </c:plotArea>
    <c:legend>
      <c:legendPos val="r"/>
      <c:layout>
        <c:manualLayout>
          <c:xMode val="edge"/>
          <c:yMode val="edge"/>
          <c:x val="0.8473645615522174"/>
          <c:y val="0.20769794089168386"/>
          <c:w val="0.12630758033867207"/>
          <c:h val="0.53735780304100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d-ID"/>
              <a:t>Kurva</a:t>
            </a:r>
            <a:r>
              <a:rPr lang="id-ID" baseline="0"/>
              <a:t> Frekuensi</a:t>
            </a:r>
            <a:endParaRPr lang="id-ID"/>
          </a:p>
        </c:rich>
      </c:tx>
      <c:overlay val="0"/>
      <c:spPr>
        <a:noFill/>
        <a:ln>
          <a:noFill/>
        </a:ln>
        <a:effectLst/>
      </c:spPr>
    </c:title>
    <c:autoTitleDeleted val="0"/>
    <c:plotArea>
      <c:layout>
        <c:manualLayout>
          <c:layoutTarget val="inner"/>
          <c:xMode val="edge"/>
          <c:yMode val="edge"/>
          <c:x val="8.8128377311816566E-2"/>
          <c:y val="0.11884728155984045"/>
          <c:w val="0.7279204354529355"/>
          <c:h val="0.74482033369572975"/>
        </c:manualLayout>
      </c:layout>
      <c:scatterChart>
        <c:scatterStyle val="smoothMarker"/>
        <c:varyColors val="0"/>
        <c:ser>
          <c:idx val="0"/>
          <c:order val="0"/>
          <c:tx>
            <c:v>IPR</c:v>
          </c:tx>
          <c:spPr>
            <a:ln w="28575"/>
          </c:spPr>
          <c:marker>
            <c:symbol val="circle"/>
            <c:size val="5"/>
            <c:spPr>
              <a:solidFill>
                <a:schemeClr val="accent1"/>
              </a:solidFill>
              <a:ln w="28575">
                <a:solidFill>
                  <a:schemeClr val="accent1"/>
                </a:solidFill>
              </a:ln>
              <a:effectLst/>
            </c:spPr>
          </c:marker>
          <c:xVal>
            <c:numRef>
              <c:f>IPR!$C$42:$C$57</c:f>
              <c:numCache>
                <c:formatCode>0</c:formatCode>
                <c:ptCount val="16"/>
                <c:pt idx="0">
                  <c:v>0</c:v>
                </c:pt>
                <c:pt idx="1">
                  <c:v>1099.7975002191195</c:v>
                </c:pt>
                <c:pt idx="2">
                  <c:v>1344.7962750485065</c:v>
                </c:pt>
                <c:pt idx="3">
                  <c:v>2079.7925995366672</c:v>
                </c:pt>
                <c:pt idx="4">
                  <c:v>2741.2892915760117</c:v>
                </c:pt>
                <c:pt idx="5">
                  <c:v>3549.7852485129888</c:v>
                </c:pt>
                <c:pt idx="6">
                  <c:v>4284.7815730011498</c:v>
                </c:pt>
                <c:pt idx="7">
                  <c:v>5019.7778974893099</c:v>
                </c:pt>
                <c:pt idx="8">
                  <c:v>5754.7742219774709</c:v>
                </c:pt>
                <c:pt idx="9">
                  <c:v>6028.7330653189565</c:v>
                </c:pt>
                <c:pt idx="10">
                  <c:v>7038.1011377504501</c:v>
                </c:pt>
                <c:pt idx="11">
                  <c:v>7539.7652957344326</c:v>
                </c:pt>
                <c:pt idx="12">
                  <c:v>7948.0965871167446</c:v>
                </c:pt>
                <c:pt idx="13">
                  <c:v>8263.0950118973851</c:v>
                </c:pt>
                <c:pt idx="14">
                  <c:v>8484.7605700763543</c:v>
                </c:pt>
                <c:pt idx="15">
                  <c:v>8613.093261653652</c:v>
                </c:pt>
              </c:numCache>
            </c:numRef>
          </c:xVal>
          <c:yVal>
            <c:numRef>
              <c:f>IPR!$B$42:$B$57</c:f>
              <c:numCache>
                <c:formatCode>General</c:formatCode>
                <c:ptCount val="16"/>
                <c:pt idx="0" formatCode="0.00">
                  <c:v>2224.4495918367347</c:v>
                </c:pt>
                <c:pt idx="1">
                  <c:v>2000</c:v>
                </c:pt>
                <c:pt idx="2">
                  <c:v>1950</c:v>
                </c:pt>
                <c:pt idx="3">
                  <c:v>1800</c:v>
                </c:pt>
                <c:pt idx="4">
                  <c:v>1665</c:v>
                </c:pt>
                <c:pt idx="5">
                  <c:v>1500</c:v>
                </c:pt>
                <c:pt idx="6">
                  <c:v>1350</c:v>
                </c:pt>
                <c:pt idx="7">
                  <c:v>1200</c:v>
                </c:pt>
                <c:pt idx="8">
                  <c:v>1050</c:v>
                </c:pt>
                <c:pt idx="9">
                  <c:v>992.7</c:v>
                </c:pt>
                <c:pt idx="10" formatCode="0">
                  <c:v>750</c:v>
                </c:pt>
                <c:pt idx="11">
                  <c:v>600</c:v>
                </c:pt>
                <c:pt idx="12">
                  <c:v>450</c:v>
                </c:pt>
                <c:pt idx="13">
                  <c:v>300</c:v>
                </c:pt>
                <c:pt idx="14">
                  <c:v>150</c:v>
                </c:pt>
                <c:pt idx="15">
                  <c:v>0</c:v>
                </c:pt>
              </c:numCache>
            </c:numRef>
          </c:yVal>
          <c:smooth val="1"/>
          <c:extLst>
            <c:ext xmlns:c16="http://schemas.microsoft.com/office/drawing/2014/chart" uri="{C3380CC4-5D6E-409C-BE32-E72D297353CC}">
              <c16:uniqueId val="{00000000-3837-48C1-9353-D6A9D2072C5B}"/>
            </c:ext>
          </c:extLst>
        </c:ser>
        <c:ser>
          <c:idx val="1"/>
          <c:order val="1"/>
          <c:tx>
            <c:v>60 Hz</c:v>
          </c:tx>
          <c:spPr>
            <a:ln w="28575"/>
          </c:spPr>
          <c:marker>
            <c:spPr>
              <a:ln w="28575"/>
            </c:spPr>
          </c:marker>
          <c:xVal>
            <c:numRef>
              <c:f>'Kurva Frekuensi'!$C$3:$C$9</c:f>
              <c:numCache>
                <c:formatCode>0</c:formatCode>
                <c:ptCount val="7"/>
                <c:pt idx="0">
                  <c:v>2200</c:v>
                </c:pt>
                <c:pt idx="1">
                  <c:v>2250</c:v>
                </c:pt>
                <c:pt idx="2">
                  <c:v>2300</c:v>
                </c:pt>
                <c:pt idx="3">
                  <c:v>2350</c:v>
                </c:pt>
                <c:pt idx="4">
                  <c:v>2400</c:v>
                </c:pt>
                <c:pt idx="5">
                  <c:v>2450</c:v>
                </c:pt>
                <c:pt idx="6">
                  <c:v>2500</c:v>
                </c:pt>
              </c:numCache>
            </c:numRef>
          </c:xVal>
          <c:yVal>
            <c:numRef>
              <c:f>'Kurva Frekuensi'!$D$3:$D$9</c:f>
              <c:numCache>
                <c:formatCode>0</c:formatCode>
                <c:ptCount val="7"/>
                <c:pt idx="0">
                  <c:v>1561.2065224116136</c:v>
                </c:pt>
                <c:pt idx="1">
                  <c:v>1576.8479795737749</c:v>
                </c:pt>
                <c:pt idx="2">
                  <c:v>1595.3997458885765</c:v>
                </c:pt>
                <c:pt idx="3">
                  <c:v>1616.8617457309006</c:v>
                </c:pt>
                <c:pt idx="4">
                  <c:v>1632.5719011002079</c:v>
                </c:pt>
                <c:pt idx="5">
                  <c:v>1648.3048095178435</c:v>
                </c:pt>
                <c:pt idx="6">
                  <c:v>1664.0604007140591</c:v>
                </c:pt>
              </c:numCache>
            </c:numRef>
          </c:yVal>
          <c:smooth val="1"/>
          <c:extLst>
            <c:ext xmlns:c16="http://schemas.microsoft.com/office/drawing/2014/chart" uri="{C3380CC4-5D6E-409C-BE32-E72D297353CC}">
              <c16:uniqueId val="{00000001-3837-48C1-9353-D6A9D2072C5B}"/>
            </c:ext>
          </c:extLst>
        </c:ser>
        <c:ser>
          <c:idx val="2"/>
          <c:order val="2"/>
          <c:tx>
            <c:v>58 Hz</c:v>
          </c:tx>
          <c:spPr>
            <a:ln w="28575"/>
          </c:spPr>
          <c:marker>
            <c:spPr>
              <a:ln w="28575"/>
            </c:spPr>
          </c:marker>
          <c:xVal>
            <c:numRef>
              <c:f>'Kurva Frekuensi'!$C$10:$C$16</c:f>
              <c:numCache>
                <c:formatCode>0</c:formatCode>
                <c:ptCount val="7"/>
                <c:pt idx="0">
                  <c:v>2126.6666666666665</c:v>
                </c:pt>
                <c:pt idx="1">
                  <c:v>2175</c:v>
                </c:pt>
                <c:pt idx="2">
                  <c:v>2223.3333333333335</c:v>
                </c:pt>
                <c:pt idx="3">
                  <c:v>2271.6666666666665</c:v>
                </c:pt>
                <c:pt idx="4">
                  <c:v>2320</c:v>
                </c:pt>
                <c:pt idx="5">
                  <c:v>2368.3333333333335</c:v>
                </c:pt>
                <c:pt idx="6">
                  <c:v>2416.6666666666665</c:v>
                </c:pt>
              </c:numCache>
              <c:extLst xmlns:c15="http://schemas.microsoft.com/office/drawing/2012/chart"/>
            </c:numRef>
          </c:xVal>
          <c:yVal>
            <c:numRef>
              <c:f>'Kurva Frekuensi'!$D$10:$D$16</c:f>
              <c:numCache>
                <c:formatCode>0</c:formatCode>
                <c:ptCount val="7"/>
                <c:pt idx="0">
                  <c:v>1592.2268117269732</c:v>
                </c:pt>
                <c:pt idx="1">
                  <c:v>1606.8486240274678</c:v>
                </c:pt>
                <c:pt idx="2">
                  <c:v>1624.1900679966443</c:v>
                </c:pt>
                <c:pt idx="3">
                  <c:v>1644.2510726067533</c:v>
                </c:pt>
                <c:pt idx="4">
                  <c:v>1658.9374068414691</c:v>
                </c:pt>
                <c:pt idx="5">
                  <c:v>1673.6451109306338</c:v>
                </c:pt>
                <c:pt idx="6">
                  <c:v>1688.3741188763079</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2-3837-48C1-9353-D6A9D2072C5B}"/>
            </c:ext>
          </c:extLst>
        </c:ser>
        <c:ser>
          <c:idx val="3"/>
          <c:order val="3"/>
          <c:tx>
            <c:v>56 Hz</c:v>
          </c:tx>
          <c:spPr>
            <a:ln w="28575"/>
          </c:spPr>
          <c:marker>
            <c:spPr>
              <a:ln w="28575"/>
            </c:spPr>
          </c:marker>
          <c:xVal>
            <c:numRef>
              <c:f>'Kurva Frekuensi'!$C$17:$C$23</c:f>
              <c:numCache>
                <c:formatCode>0</c:formatCode>
                <c:ptCount val="7"/>
                <c:pt idx="0">
                  <c:v>2053.3333333333335</c:v>
                </c:pt>
                <c:pt idx="1">
                  <c:v>2100</c:v>
                </c:pt>
                <c:pt idx="2">
                  <c:v>2146.6666666666665</c:v>
                </c:pt>
                <c:pt idx="3">
                  <c:v>2193.3333333333335</c:v>
                </c:pt>
                <c:pt idx="4">
                  <c:v>2240</c:v>
                </c:pt>
                <c:pt idx="5">
                  <c:v>2286.6666666666665</c:v>
                </c:pt>
                <c:pt idx="6">
                  <c:v>2333.3333333333335</c:v>
                </c:pt>
              </c:numCache>
              <c:extLst xmlns:c15="http://schemas.microsoft.com/office/drawing/2012/chart"/>
            </c:numRef>
          </c:xVal>
          <c:yVal>
            <c:numRef>
              <c:f>'Kurva Frekuensi'!$D$17:$D$23</c:f>
              <c:numCache>
                <c:formatCode>0</c:formatCode>
                <c:ptCount val="7"/>
                <c:pt idx="0">
                  <c:v>1622.1869219149407</c:v>
                </c:pt>
                <c:pt idx="1">
                  <c:v>1635.8232866433136</c:v>
                </c:pt>
                <c:pt idx="2">
                  <c:v>1651.9950622025758</c:v>
                </c:pt>
                <c:pt idx="3">
                  <c:v>1670.7021820295404</c:v>
                </c:pt>
                <c:pt idx="4">
                  <c:v>1684.3990130642464</c:v>
                </c:pt>
                <c:pt idx="5">
                  <c:v>1698.1158707175125</c:v>
                </c:pt>
                <c:pt idx="6">
                  <c:v>1711.8526931398028</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3-3837-48C1-9353-D6A9D2072C5B}"/>
            </c:ext>
          </c:extLst>
        </c:ser>
        <c:ser>
          <c:idx val="4"/>
          <c:order val="4"/>
          <c:tx>
            <c:v>54 Hz</c:v>
          </c:tx>
          <c:spPr>
            <a:ln w="28575"/>
          </c:spPr>
          <c:marker>
            <c:spPr>
              <a:ln w="28575"/>
            </c:spPr>
          </c:marker>
          <c:xVal>
            <c:numRef>
              <c:f>'Kurva Frekuensi'!$C$24:$C$30</c:f>
              <c:numCache>
                <c:formatCode>0</c:formatCode>
                <c:ptCount val="7"/>
                <c:pt idx="0">
                  <c:v>1980</c:v>
                </c:pt>
                <c:pt idx="1">
                  <c:v>2025</c:v>
                </c:pt>
                <c:pt idx="2">
                  <c:v>2070</c:v>
                </c:pt>
                <c:pt idx="3">
                  <c:v>2115</c:v>
                </c:pt>
                <c:pt idx="4">
                  <c:v>2160</c:v>
                </c:pt>
                <c:pt idx="5">
                  <c:v>2205</c:v>
                </c:pt>
                <c:pt idx="6">
                  <c:v>2250</c:v>
                </c:pt>
              </c:numCache>
              <c:extLst xmlns:c15="http://schemas.microsoft.com/office/drawing/2012/chart"/>
            </c:numRef>
          </c:xVal>
          <c:yVal>
            <c:numRef>
              <c:f>'Kurva Frekuensi'!$D$24:$D$30</c:f>
              <c:numCache>
                <c:formatCode>0</c:formatCode>
                <c:ptCount val="7"/>
                <c:pt idx="0">
                  <c:v>1651.0871160757461</c:v>
                </c:pt>
                <c:pt idx="1">
                  <c:v>1663.7722416904394</c:v>
                </c:pt>
                <c:pt idx="2">
                  <c:v>1678.8150141573824</c:v>
                </c:pt>
                <c:pt idx="3">
                  <c:v>1696.2153712444374</c:v>
                </c:pt>
                <c:pt idx="4">
                  <c:v>1708.9570288194773</c:v>
                </c:pt>
                <c:pt idx="5">
                  <c:v>1721.7174099461101</c:v>
                </c:pt>
                <c:pt idx="6">
                  <c:v>1734.4964567991506</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4-3837-48C1-9353-D6A9D2072C5B}"/>
            </c:ext>
          </c:extLst>
        </c:ser>
        <c:ser>
          <c:idx val="5"/>
          <c:order val="5"/>
          <c:tx>
            <c:v>52 Hz</c:v>
          </c:tx>
          <c:spPr>
            <a:ln w="28575"/>
          </c:spPr>
          <c:marker>
            <c:spPr>
              <a:ln w="28575"/>
            </c:spPr>
          </c:marker>
          <c:xVal>
            <c:numRef>
              <c:f>'Kurva Frekuensi'!$C$31:$C$37</c:f>
              <c:numCache>
                <c:formatCode>0</c:formatCode>
                <c:ptCount val="7"/>
                <c:pt idx="0">
                  <c:v>1906.6666666666667</c:v>
                </c:pt>
                <c:pt idx="1">
                  <c:v>1950</c:v>
                </c:pt>
                <c:pt idx="2">
                  <c:v>1993.3333333333335</c:v>
                </c:pt>
                <c:pt idx="3">
                  <c:v>2036.6666666666667</c:v>
                </c:pt>
                <c:pt idx="4">
                  <c:v>2080</c:v>
                </c:pt>
                <c:pt idx="5">
                  <c:v>2123.3333333333335</c:v>
                </c:pt>
                <c:pt idx="6">
                  <c:v>2166.6666666666665</c:v>
                </c:pt>
              </c:numCache>
              <c:extLst xmlns:c15="http://schemas.microsoft.com/office/drawing/2012/chart"/>
            </c:numRef>
          </c:xVal>
          <c:yVal>
            <c:numRef>
              <c:f>'Kurva Frekuensi'!$D$31:$D$37</c:f>
              <c:numCache>
                <c:formatCode>0</c:formatCode>
                <c:ptCount val="7"/>
                <c:pt idx="0">
                  <c:v>1678.9276683494309</c:v>
                </c:pt>
                <c:pt idx="1">
                  <c:v>1690.6957749464382</c:v>
                </c:pt>
                <c:pt idx="2">
                  <c:v>1704.650221498126</c:v>
                </c:pt>
                <c:pt idx="3">
                  <c:v>1720.7909499691675</c:v>
                </c:pt>
                <c:pt idx="4">
                  <c:v>1732.6117761260225</c:v>
                </c:pt>
                <c:pt idx="5">
                  <c:v>1744.4500631562103</c:v>
                </c:pt>
                <c:pt idx="6">
                  <c:v>1756.3057571341551</c:v>
                </c:pt>
              </c:numCache>
              <c:extLst xmlns:c15="http://schemas.microsoft.com/office/drawing/2012/chart"/>
            </c:numRef>
          </c:yVal>
          <c:smooth val="1"/>
          <c:extLst xmlns:c15="http://schemas.microsoft.com/office/drawing/2012/chart">
            <c:ext xmlns:c16="http://schemas.microsoft.com/office/drawing/2014/chart" uri="{C3380CC4-5D6E-409C-BE32-E72D297353CC}">
              <c16:uniqueId val="{00000005-3837-48C1-9353-D6A9D2072C5B}"/>
            </c:ext>
          </c:extLst>
        </c:ser>
        <c:ser>
          <c:idx val="6"/>
          <c:order val="6"/>
          <c:tx>
            <c:v>50 Hz</c:v>
          </c:tx>
          <c:spPr>
            <a:ln w="28575"/>
          </c:spPr>
          <c:marker>
            <c:spPr>
              <a:ln w="28575"/>
            </c:spPr>
          </c:marker>
          <c:xVal>
            <c:numRef>
              <c:f>'Kurva Frekuensi'!$C$38:$C$44</c:f>
              <c:numCache>
                <c:formatCode>0</c:formatCode>
                <c:ptCount val="7"/>
                <c:pt idx="0">
                  <c:v>1833.3333333333335</c:v>
                </c:pt>
                <c:pt idx="1">
                  <c:v>1875</c:v>
                </c:pt>
                <c:pt idx="2">
                  <c:v>1916.6666666666667</c:v>
                </c:pt>
                <c:pt idx="3">
                  <c:v>1958.3333333333335</c:v>
                </c:pt>
                <c:pt idx="4">
                  <c:v>2000</c:v>
                </c:pt>
                <c:pt idx="5">
                  <c:v>2041.6666666666667</c:v>
                </c:pt>
                <c:pt idx="6">
                  <c:v>2083.3333333333335</c:v>
                </c:pt>
              </c:numCache>
            </c:numRef>
          </c:xVal>
          <c:yVal>
            <c:numRef>
              <c:f>'Kurva Frekuensi'!$D$38:$D$44</c:f>
              <c:numCache>
                <c:formatCode>0</c:formatCode>
                <c:ptCount val="7"/>
                <c:pt idx="0">
                  <c:v>1705.7088648149979</c:v>
                </c:pt>
                <c:pt idx="1">
                  <c:v>1716.5941846346861</c:v>
                </c:pt>
                <c:pt idx="2">
                  <c:v>1729.5009948241434</c:v>
                </c:pt>
                <c:pt idx="3">
                  <c:v>1744.4292414098468</c:v>
                </c:pt>
                <c:pt idx="4">
                  <c:v>1755.3635910268601</c:v>
                </c:pt>
                <c:pt idx="5">
                  <c:v>1766.3141794570015</c:v>
                </c:pt>
                <c:pt idx="6">
                  <c:v>1777.2809565488672</c:v>
                </c:pt>
              </c:numCache>
            </c:numRef>
          </c:yVal>
          <c:smooth val="1"/>
          <c:extLst>
            <c:ext xmlns:c16="http://schemas.microsoft.com/office/drawing/2014/chart" uri="{C3380CC4-5D6E-409C-BE32-E72D297353CC}">
              <c16:uniqueId val="{00000006-3837-48C1-9353-D6A9D2072C5B}"/>
            </c:ext>
          </c:extLst>
        </c:ser>
        <c:ser>
          <c:idx val="7"/>
          <c:order val="7"/>
          <c:tx>
            <c:v>45 Hz</c:v>
          </c:tx>
          <c:xVal>
            <c:numRef>
              <c:f>'Kurva Frekuensi'!$C$45:$C$51</c:f>
              <c:extLst xmlns:c15="http://schemas.microsoft.com/office/drawing/2012/chart"/>
            </c:numRef>
          </c:xVal>
          <c:yVal>
            <c:numRef>
              <c:f>'Kurva Frekuensi'!$D$45:$D$51</c:f>
              <c:extLst xmlns:c15="http://schemas.microsoft.com/office/drawing/2012/chart"/>
            </c:numRef>
          </c:yVal>
          <c:smooth val="1"/>
          <c:extLst xmlns:c15="http://schemas.microsoft.com/office/drawing/2012/chart">
            <c:ext xmlns:c16="http://schemas.microsoft.com/office/drawing/2014/chart" uri="{C3380CC4-5D6E-409C-BE32-E72D297353CC}">
              <c16:uniqueId val="{00000007-3837-48C1-9353-D6A9D2072C5B}"/>
            </c:ext>
          </c:extLst>
        </c:ser>
        <c:dLbls>
          <c:showLegendKey val="0"/>
          <c:showVal val="0"/>
          <c:showCatName val="0"/>
          <c:showSerName val="0"/>
          <c:showPercent val="0"/>
          <c:showBubbleSize val="0"/>
        </c:dLbls>
        <c:axId val="201456784"/>
        <c:axId val="201457344"/>
        <c:extLst/>
      </c:scatterChart>
      <c:valAx>
        <c:axId val="201456784"/>
        <c:scaling>
          <c:orientation val="minMax"/>
          <c:max val="2750"/>
          <c:min val="1500"/>
        </c:scaling>
        <c:delete val="0"/>
        <c:axPos val="b"/>
        <c:majorGridlines>
          <c:spPr>
            <a:ln w="9525" cap="flat" cmpd="sng" algn="ctr">
              <a:solidFill>
                <a:schemeClr val="tx1">
                  <a:lumMod val="15000"/>
                  <a:lumOff val="85000"/>
                </a:schemeClr>
              </a:solidFill>
              <a:round/>
            </a:ln>
            <a:effectLst/>
          </c:spPr>
        </c:majorGridlines>
        <c:minorGridlines>
          <c:spPr>
            <a:ln>
              <a:noFill/>
            </a:ln>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d-ID"/>
                  <a:t>Q,</a:t>
                </a:r>
                <a:r>
                  <a:rPr lang="id-ID" baseline="0"/>
                  <a:t> BFPD</a:t>
                </a:r>
                <a:endParaRPr lang="id-ID"/>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1457344"/>
        <c:crosses val="autoZero"/>
        <c:crossBetween val="midCat"/>
        <c:majorUnit val="250"/>
      </c:valAx>
      <c:valAx>
        <c:axId val="201457344"/>
        <c:scaling>
          <c:orientation val="minMax"/>
          <c:max val="20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d-ID"/>
                  <a:t>P</a:t>
                </a:r>
                <a:r>
                  <a:rPr lang="en-ID"/>
                  <a:t>IP</a:t>
                </a:r>
                <a:r>
                  <a:rPr lang="id-ID"/>
                  <a:t>,</a:t>
                </a:r>
                <a:r>
                  <a:rPr lang="id-ID" baseline="0"/>
                  <a:t> Psi</a:t>
                </a:r>
                <a:endParaRPr lang="id-ID"/>
              </a:p>
            </c:rich>
          </c:tx>
          <c:layout>
            <c:manualLayout>
              <c:xMode val="edge"/>
              <c:yMode val="edge"/>
              <c:x val="1.2984377340318997E-2"/>
              <c:y val="0.44403731428327736"/>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01456784"/>
        <c:crosses val="autoZero"/>
        <c:crossBetween val="midCat"/>
        <c:majorUnit val="250"/>
      </c:valAx>
      <c:spPr>
        <a:noFill/>
        <a:ln>
          <a:noFill/>
        </a:ln>
        <a:effectLst/>
      </c:spPr>
    </c:plotArea>
    <c:legend>
      <c:legendPos val="r"/>
      <c:layout>
        <c:manualLayout>
          <c:xMode val="edge"/>
          <c:yMode val="edge"/>
          <c:x val="0.8473645615522174"/>
          <c:y val="0.20769794089168386"/>
          <c:w val="0.12630758033867207"/>
          <c:h val="0.53735780304100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Grafik Internal Rate of Return (IRR)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areaChart>
        <c:grouping val="standard"/>
        <c:varyColors val="0"/>
        <c:ser>
          <c:idx val="0"/>
          <c:order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cat>
            <c:strRef>
              <c:f>('Analisa Ekonomi (Daqing)'!$G$12,'Analisa Ekonomi (Daqing)'!$H$12)</c:f>
              <c:strCache>
                <c:ptCount val="2"/>
                <c:pt idx="0">
                  <c:v>i = 5%</c:v>
                </c:pt>
                <c:pt idx="1">
                  <c:v>i = 18%</c:v>
                </c:pt>
              </c:strCache>
            </c:strRef>
          </c:cat>
          <c:val>
            <c:numRef>
              <c:f>('Analisa Ekonomi (Daqing)'!$G$18,'Analisa Ekonomi (Daqing)'!$H$18)</c:f>
              <c:numCache>
                <c:formatCode>0</c:formatCode>
                <c:ptCount val="2"/>
                <c:pt idx="0">
                  <c:v>154433.86199680169</c:v>
                </c:pt>
                <c:pt idx="1">
                  <c:v>-59599.832708182919</c:v>
                </c:pt>
              </c:numCache>
            </c:numRef>
          </c:val>
          <c:extLst>
            <c:ext xmlns:c16="http://schemas.microsoft.com/office/drawing/2014/chart" uri="{C3380CC4-5D6E-409C-BE32-E72D297353CC}">
              <c16:uniqueId val="{00000000-32AF-4C50-BEAD-A77E3B4FD618}"/>
            </c:ext>
          </c:extLst>
        </c:ser>
        <c:dLbls>
          <c:showLegendKey val="0"/>
          <c:showVal val="0"/>
          <c:showCatName val="0"/>
          <c:showSerName val="0"/>
          <c:showPercent val="0"/>
          <c:showBubbleSize val="0"/>
        </c:dLbls>
        <c:axId val="498198776"/>
        <c:axId val="498199432"/>
      </c:areaChart>
      <c:catAx>
        <c:axId val="49819877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i, Interest/Bunga Modal (%)</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98199432"/>
        <c:crosses val="autoZero"/>
        <c:auto val="1"/>
        <c:lblAlgn val="ctr"/>
        <c:lblOffset val="100"/>
        <c:noMultiLvlLbl val="0"/>
      </c:catAx>
      <c:valAx>
        <c:axId val="498199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n-US"/>
                  <a:t>Net Present Value, NPV (US$)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981987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31.emf"/><Relationship Id="rId1" Type="http://schemas.openxmlformats.org/officeDocument/2006/relationships/image" Target="../media/image30.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31.emf"/><Relationship Id="rId1"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jp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18.jp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20.jpg"/><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chart" Target="../charts/chart6.xml"/><Relationship Id="rId4" Type="http://schemas.openxmlformats.org/officeDocument/2006/relationships/image" Target="../media/image20.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xdr:from>
      <xdr:col>0</xdr:col>
      <xdr:colOff>409575</xdr:colOff>
      <xdr:row>8</xdr:row>
      <xdr:rowOff>133350</xdr:rowOff>
    </xdr:from>
    <xdr:to>
      <xdr:col>0</xdr:col>
      <xdr:colOff>647700</xdr:colOff>
      <xdr:row>14</xdr:row>
      <xdr:rowOff>19050</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409575" y="1543050"/>
          <a:ext cx="238125" cy="971550"/>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clientData/>
  </xdr:twoCellAnchor>
  <xdr:twoCellAnchor>
    <xdr:from>
      <xdr:col>0</xdr:col>
      <xdr:colOff>342900</xdr:colOff>
      <xdr:row>12</xdr:row>
      <xdr:rowOff>47625</xdr:rowOff>
    </xdr:from>
    <xdr:to>
      <xdr:col>0</xdr:col>
      <xdr:colOff>695325</xdr:colOff>
      <xdr:row>12</xdr:row>
      <xdr:rowOff>142875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flipH="1">
          <a:off x="342900" y="2162175"/>
          <a:ext cx="352425" cy="95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381000</xdr:colOff>
      <xdr:row>12</xdr:row>
      <xdr:rowOff>66675</xdr:rowOff>
    </xdr:from>
    <xdr:to>
      <xdr:col>0</xdr:col>
      <xdr:colOff>733425</xdr:colOff>
      <xdr:row>12</xdr:row>
      <xdr:rowOff>161925</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flipH="1">
          <a:off x="381000" y="2181225"/>
          <a:ext cx="352425" cy="95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57150</xdr:colOff>
      <xdr:row>4</xdr:row>
      <xdr:rowOff>47625</xdr:rowOff>
    </xdr:from>
    <xdr:to>
      <xdr:col>4</xdr:col>
      <xdr:colOff>190500</xdr:colOff>
      <xdr:row>4</xdr:row>
      <xdr:rowOff>123825</xdr:rowOff>
    </xdr:to>
    <xdr:sp macro="" textlink="">
      <xdr:nvSpPr>
        <xdr:cNvPr id="5" name="Rectangle 41">
          <a:extLst>
            <a:ext uri="{FF2B5EF4-FFF2-40B4-BE49-F238E27FC236}">
              <a16:creationId xmlns:a16="http://schemas.microsoft.com/office/drawing/2014/main" id="{00000000-0008-0000-0000-000005000000}"/>
            </a:ext>
          </a:extLst>
        </xdr:cNvPr>
        <xdr:cNvSpPr>
          <a:spLocks noChangeArrowheads="1"/>
        </xdr:cNvSpPr>
      </xdr:nvSpPr>
      <xdr:spPr bwMode="auto">
        <a:xfrm>
          <a:off x="3152775" y="819150"/>
          <a:ext cx="133350" cy="76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66675</xdr:colOff>
      <xdr:row>6</xdr:row>
      <xdr:rowOff>38100</xdr:rowOff>
    </xdr:from>
    <xdr:to>
      <xdr:col>4</xdr:col>
      <xdr:colOff>200025</xdr:colOff>
      <xdr:row>6</xdr:row>
      <xdr:rowOff>114300</xdr:rowOff>
    </xdr:to>
    <xdr:sp macro="" textlink="">
      <xdr:nvSpPr>
        <xdr:cNvPr id="6" name="Rectangle 42">
          <a:extLst>
            <a:ext uri="{FF2B5EF4-FFF2-40B4-BE49-F238E27FC236}">
              <a16:creationId xmlns:a16="http://schemas.microsoft.com/office/drawing/2014/main" id="{00000000-0008-0000-0000-000006000000}"/>
            </a:ext>
          </a:extLst>
        </xdr:cNvPr>
        <xdr:cNvSpPr>
          <a:spLocks noChangeArrowheads="1"/>
        </xdr:cNvSpPr>
      </xdr:nvSpPr>
      <xdr:spPr bwMode="auto">
        <a:xfrm>
          <a:off x="3162300" y="1114425"/>
          <a:ext cx="133350" cy="76200"/>
        </a:xfrm>
        <a:prstGeom prst="rect">
          <a:avLst/>
        </a:prstGeom>
        <a:solidFill>
          <a:srgbClr val="FF0000"/>
        </a:solidFill>
        <a:ln w="9525">
          <a:solidFill>
            <a:srgbClr val="000000"/>
          </a:solidFill>
          <a:miter lim="800000"/>
          <a:headEnd/>
          <a:tailEnd/>
        </a:ln>
      </xdr:spPr>
    </xdr:sp>
    <xdr:clientData/>
  </xdr:twoCellAnchor>
  <xdr:twoCellAnchor>
    <xdr:from>
      <xdr:col>1</xdr:col>
      <xdr:colOff>0</xdr:colOff>
      <xdr:row>4</xdr:row>
      <xdr:rowOff>28575</xdr:rowOff>
    </xdr:from>
    <xdr:to>
      <xdr:col>1</xdr:col>
      <xdr:colOff>0</xdr:colOff>
      <xdr:row>6</xdr:row>
      <xdr:rowOff>38100</xdr:rowOff>
    </xdr:to>
    <xdr:sp macro="" textlink="">
      <xdr:nvSpPr>
        <xdr:cNvPr id="8" name="Line 44">
          <a:extLst>
            <a:ext uri="{FF2B5EF4-FFF2-40B4-BE49-F238E27FC236}">
              <a16:creationId xmlns:a16="http://schemas.microsoft.com/office/drawing/2014/main" id="{00000000-0008-0000-0000-000008000000}"/>
            </a:ext>
          </a:extLst>
        </xdr:cNvPr>
        <xdr:cNvSpPr>
          <a:spLocks noChangeShapeType="1"/>
        </xdr:cNvSpPr>
      </xdr:nvSpPr>
      <xdr:spPr bwMode="auto">
        <a:xfrm>
          <a:off x="1095375" y="800100"/>
          <a:ext cx="0"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14</xdr:row>
      <xdr:rowOff>114300</xdr:rowOff>
    </xdr:from>
    <xdr:to>
      <xdr:col>1</xdr:col>
      <xdr:colOff>76200</xdr:colOff>
      <xdr:row>15</xdr:row>
      <xdr:rowOff>152400</xdr:rowOff>
    </xdr:to>
    <xdr:sp macro="" textlink="">
      <xdr:nvSpPr>
        <xdr:cNvPr id="9" name="Text Box 45">
          <a:extLst>
            <a:ext uri="{FF2B5EF4-FFF2-40B4-BE49-F238E27FC236}">
              <a16:creationId xmlns:a16="http://schemas.microsoft.com/office/drawing/2014/main" id="{00000000-0008-0000-0000-000009000000}"/>
            </a:ext>
          </a:extLst>
        </xdr:cNvPr>
        <xdr:cNvSpPr txBox="1">
          <a:spLocks noChangeArrowheads="1"/>
        </xdr:cNvSpPr>
      </xdr:nvSpPr>
      <xdr:spPr bwMode="auto">
        <a:xfrm>
          <a:off x="1095375" y="2609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23</xdr:row>
      <xdr:rowOff>0</xdr:rowOff>
    </xdr:from>
    <xdr:to>
      <xdr:col>1</xdr:col>
      <xdr:colOff>76200</xdr:colOff>
      <xdr:row>24</xdr:row>
      <xdr:rowOff>0</xdr:rowOff>
    </xdr:to>
    <xdr:sp macro="" textlink="">
      <xdr:nvSpPr>
        <xdr:cNvPr id="10" name="Text Box 46">
          <a:extLst>
            <a:ext uri="{FF2B5EF4-FFF2-40B4-BE49-F238E27FC236}">
              <a16:creationId xmlns:a16="http://schemas.microsoft.com/office/drawing/2014/main" id="{00000000-0008-0000-0000-00000A000000}"/>
            </a:ext>
          </a:extLst>
        </xdr:cNvPr>
        <xdr:cNvSpPr txBox="1">
          <a:spLocks noChangeArrowheads="1"/>
        </xdr:cNvSpPr>
      </xdr:nvSpPr>
      <xdr:spPr bwMode="auto">
        <a:xfrm>
          <a:off x="1095375" y="421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37</xdr:row>
      <xdr:rowOff>0</xdr:rowOff>
    </xdr:from>
    <xdr:to>
      <xdr:col>1</xdr:col>
      <xdr:colOff>76200</xdr:colOff>
      <xdr:row>38</xdr:row>
      <xdr:rowOff>0</xdr:rowOff>
    </xdr:to>
    <xdr:sp macro="" textlink="">
      <xdr:nvSpPr>
        <xdr:cNvPr id="11" name="Text Box 47">
          <a:extLst>
            <a:ext uri="{FF2B5EF4-FFF2-40B4-BE49-F238E27FC236}">
              <a16:creationId xmlns:a16="http://schemas.microsoft.com/office/drawing/2014/main" id="{00000000-0008-0000-0000-00000B000000}"/>
            </a:ext>
          </a:extLst>
        </xdr:cNvPr>
        <xdr:cNvSpPr txBox="1">
          <a:spLocks noChangeArrowheads="1"/>
        </xdr:cNvSpPr>
      </xdr:nvSpPr>
      <xdr:spPr bwMode="auto">
        <a:xfrm>
          <a:off x="1095375" y="70199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76200</xdr:rowOff>
    </xdr:from>
    <xdr:to>
      <xdr:col>1</xdr:col>
      <xdr:colOff>76200</xdr:colOff>
      <xdr:row>18</xdr:row>
      <xdr:rowOff>76200</xdr:rowOff>
    </xdr:to>
    <xdr:sp macro="" textlink="">
      <xdr:nvSpPr>
        <xdr:cNvPr id="12" name="Text Box 48">
          <a:extLst>
            <a:ext uri="{FF2B5EF4-FFF2-40B4-BE49-F238E27FC236}">
              <a16:creationId xmlns:a16="http://schemas.microsoft.com/office/drawing/2014/main" id="{00000000-0008-0000-0000-00000C000000}"/>
            </a:ext>
          </a:extLst>
        </xdr:cNvPr>
        <xdr:cNvSpPr txBox="1">
          <a:spLocks noChangeArrowheads="1"/>
        </xdr:cNvSpPr>
      </xdr:nvSpPr>
      <xdr:spPr bwMode="auto">
        <a:xfrm>
          <a:off x="1095375" y="30956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25</xdr:row>
      <xdr:rowOff>47625</xdr:rowOff>
    </xdr:from>
    <xdr:to>
      <xdr:col>1</xdr:col>
      <xdr:colOff>76200</xdr:colOff>
      <xdr:row>26</xdr:row>
      <xdr:rowOff>47625</xdr:rowOff>
    </xdr:to>
    <xdr:sp macro="" textlink="">
      <xdr:nvSpPr>
        <xdr:cNvPr id="13" name="Text Box 49">
          <a:extLst>
            <a:ext uri="{FF2B5EF4-FFF2-40B4-BE49-F238E27FC236}">
              <a16:creationId xmlns:a16="http://schemas.microsoft.com/office/drawing/2014/main" id="{00000000-0008-0000-0000-00000D000000}"/>
            </a:ext>
          </a:extLst>
        </xdr:cNvPr>
        <xdr:cNvSpPr txBox="1">
          <a:spLocks noChangeArrowheads="1"/>
        </xdr:cNvSpPr>
      </xdr:nvSpPr>
      <xdr:spPr bwMode="auto">
        <a:xfrm>
          <a:off x="1095375" y="46672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23</xdr:row>
      <xdr:rowOff>0</xdr:rowOff>
    </xdr:from>
    <xdr:to>
      <xdr:col>1</xdr:col>
      <xdr:colOff>0</xdr:colOff>
      <xdr:row>40</xdr:row>
      <xdr:rowOff>9525</xdr:rowOff>
    </xdr:to>
    <xdr:sp macro="" textlink="">
      <xdr:nvSpPr>
        <xdr:cNvPr id="14" name="Freeform 50" descr="Sphere">
          <a:extLst>
            <a:ext uri="{FF2B5EF4-FFF2-40B4-BE49-F238E27FC236}">
              <a16:creationId xmlns:a16="http://schemas.microsoft.com/office/drawing/2014/main" id="{00000000-0008-0000-0000-00000E000000}"/>
            </a:ext>
          </a:extLst>
        </xdr:cNvPr>
        <xdr:cNvSpPr>
          <a:spLocks/>
        </xdr:cNvSpPr>
      </xdr:nvSpPr>
      <xdr:spPr bwMode="auto">
        <a:xfrm>
          <a:off x="1095375" y="4219575"/>
          <a:ext cx="0" cy="3409950"/>
        </a:xfrm>
        <a:custGeom>
          <a:avLst/>
          <a:gdLst>
            <a:gd name="T0" fmla="*/ 0 w 11"/>
            <a:gd name="T1" fmla="*/ 0 h 399"/>
            <a:gd name="T2" fmla="*/ 0 w 11"/>
            <a:gd name="T3" fmla="*/ 2147483646 h 399"/>
            <a:gd name="T4" fmla="*/ 0 w 11"/>
            <a:gd name="T5" fmla="*/ 2147483646 h 399"/>
            <a:gd name="T6" fmla="*/ 0 w 11"/>
            <a:gd name="T7" fmla="*/ 2147483646 h 399"/>
            <a:gd name="T8" fmla="*/ 0 w 11"/>
            <a:gd name="T9" fmla="*/ 2147483646 h 399"/>
            <a:gd name="T10" fmla="*/ 0 w 11"/>
            <a:gd name="T11" fmla="*/ 2147483646 h 399"/>
            <a:gd name="T12" fmla="*/ 0 w 11"/>
            <a:gd name="T13" fmla="*/ 2147483646 h 399"/>
            <a:gd name="T14" fmla="*/ 0 w 11"/>
            <a:gd name="T15" fmla="*/ 2147483646 h 399"/>
            <a:gd name="T16" fmla="*/ 0 60000 65536"/>
            <a:gd name="T17" fmla="*/ 0 60000 65536"/>
            <a:gd name="T18" fmla="*/ 0 60000 65536"/>
            <a:gd name="T19" fmla="*/ 0 60000 65536"/>
            <a:gd name="T20" fmla="*/ 0 60000 65536"/>
            <a:gd name="T21" fmla="*/ 0 60000 65536"/>
            <a:gd name="T22" fmla="*/ 0 60000 65536"/>
            <a:gd name="T23" fmla="*/ 0 60000 65536"/>
            <a:gd name="T24" fmla="*/ 0 w 11"/>
            <a:gd name="T25" fmla="*/ 0 h 399"/>
            <a:gd name="T26" fmla="*/ 0 w 11"/>
            <a:gd name="T27" fmla="*/ 399 h 39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1" h="399">
              <a:moveTo>
                <a:pt x="9" y="0"/>
              </a:moveTo>
              <a:lnTo>
                <a:pt x="11" y="11"/>
              </a:lnTo>
              <a:lnTo>
                <a:pt x="11" y="392"/>
              </a:lnTo>
              <a:lnTo>
                <a:pt x="4" y="399"/>
              </a:lnTo>
              <a:lnTo>
                <a:pt x="0" y="398"/>
              </a:lnTo>
              <a:lnTo>
                <a:pt x="6" y="392"/>
              </a:lnTo>
              <a:lnTo>
                <a:pt x="6" y="12"/>
              </a:lnTo>
              <a:lnTo>
                <a:pt x="3" y="1"/>
              </a:lnTo>
            </a:path>
          </a:pathLst>
        </a:custGeom>
        <a:blipFill dpi="0" rotWithShape="0">
          <a:blip xmlns:r="http://schemas.openxmlformats.org/officeDocument/2006/relationships" r:embed="rId1"/>
          <a:srcRect/>
          <a:tile tx="0" ty="0" sx="100000" sy="100000" flip="none" algn="tl"/>
        </a:blipFill>
        <a:ln w="9525">
          <a:solidFill>
            <a:srgbClr val="000000"/>
          </a:solidFill>
          <a:round/>
          <a:headEnd/>
          <a:tailEnd/>
        </a:ln>
      </xdr:spPr>
    </xdr:sp>
    <xdr:clientData/>
  </xdr:twoCellAnchor>
  <xdr:twoCellAnchor>
    <xdr:from>
      <xdr:col>1</xdr:col>
      <xdr:colOff>0</xdr:colOff>
      <xdr:row>16</xdr:row>
      <xdr:rowOff>76200</xdr:rowOff>
    </xdr:from>
    <xdr:to>
      <xdr:col>1</xdr:col>
      <xdr:colOff>0</xdr:colOff>
      <xdr:row>17</xdr:row>
      <xdr:rowOff>38100</xdr:rowOff>
    </xdr:to>
    <xdr:sp macro="" textlink="">
      <xdr:nvSpPr>
        <xdr:cNvPr id="15" name="Rectangle 51">
          <a:extLst>
            <a:ext uri="{FF2B5EF4-FFF2-40B4-BE49-F238E27FC236}">
              <a16:creationId xmlns:a16="http://schemas.microsoft.com/office/drawing/2014/main" id="{00000000-0008-0000-0000-00000F000000}"/>
            </a:ext>
          </a:extLst>
        </xdr:cNvPr>
        <xdr:cNvSpPr>
          <a:spLocks noChangeArrowheads="1"/>
        </xdr:cNvSpPr>
      </xdr:nvSpPr>
      <xdr:spPr bwMode="auto">
        <a:xfrm>
          <a:off x="1095375" y="2895600"/>
          <a:ext cx="0" cy="161925"/>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17</xdr:row>
      <xdr:rowOff>38100</xdr:rowOff>
    </xdr:from>
    <xdr:to>
      <xdr:col>1</xdr:col>
      <xdr:colOff>0</xdr:colOff>
      <xdr:row>17</xdr:row>
      <xdr:rowOff>66675</xdr:rowOff>
    </xdr:to>
    <xdr:sp macro="" textlink="">
      <xdr:nvSpPr>
        <xdr:cNvPr id="16" name="Rectangle 52">
          <a:extLst>
            <a:ext uri="{FF2B5EF4-FFF2-40B4-BE49-F238E27FC236}">
              <a16:creationId xmlns:a16="http://schemas.microsoft.com/office/drawing/2014/main" id="{00000000-0008-0000-0000-000010000000}"/>
            </a:ext>
          </a:extLst>
        </xdr:cNvPr>
        <xdr:cNvSpPr>
          <a:spLocks noChangeArrowheads="1"/>
        </xdr:cNvSpPr>
      </xdr:nvSpPr>
      <xdr:spPr bwMode="auto">
        <a:xfrm>
          <a:off x="1095375" y="3057525"/>
          <a:ext cx="0" cy="28575"/>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17</xdr:row>
      <xdr:rowOff>76200</xdr:rowOff>
    </xdr:from>
    <xdr:to>
      <xdr:col>1</xdr:col>
      <xdr:colOff>0</xdr:colOff>
      <xdr:row>18</xdr:row>
      <xdr:rowOff>0</xdr:rowOff>
    </xdr:to>
    <xdr:sp macro="" textlink="">
      <xdr:nvSpPr>
        <xdr:cNvPr id="17" name="AutoShape 53">
          <a:extLst>
            <a:ext uri="{FF2B5EF4-FFF2-40B4-BE49-F238E27FC236}">
              <a16:creationId xmlns:a16="http://schemas.microsoft.com/office/drawing/2014/main" id="{00000000-0008-0000-0000-000011000000}"/>
            </a:ext>
          </a:extLst>
        </xdr:cNvPr>
        <xdr:cNvSpPr>
          <a:spLocks noChangeArrowheads="1"/>
        </xdr:cNvSpPr>
      </xdr:nvSpPr>
      <xdr:spPr bwMode="auto">
        <a:xfrm>
          <a:off x="1095375" y="3095625"/>
          <a:ext cx="0" cy="123825"/>
        </a:xfrm>
        <a:prstGeom prst="roundRect">
          <a:avLst>
            <a:gd name="adj" fmla="val 16667"/>
          </a:avLst>
        </a:prstGeom>
        <a:solidFill>
          <a:srgbClr val="800000"/>
        </a:solidFill>
        <a:ln w="9525">
          <a:solidFill>
            <a:srgbClr val="000000"/>
          </a:solidFill>
          <a:round/>
          <a:headEnd/>
          <a:tailEnd/>
        </a:ln>
      </xdr:spPr>
    </xdr:sp>
    <xdr:clientData/>
  </xdr:twoCellAnchor>
  <xdr:twoCellAnchor>
    <xdr:from>
      <xdr:col>1</xdr:col>
      <xdr:colOff>0</xdr:colOff>
      <xdr:row>18</xdr:row>
      <xdr:rowOff>38100</xdr:rowOff>
    </xdr:from>
    <xdr:to>
      <xdr:col>1</xdr:col>
      <xdr:colOff>0</xdr:colOff>
      <xdr:row>18</xdr:row>
      <xdr:rowOff>85725</xdr:rowOff>
    </xdr:to>
    <xdr:sp macro="" textlink="">
      <xdr:nvSpPr>
        <xdr:cNvPr id="18" name="Rectangle 54">
          <a:extLst>
            <a:ext uri="{FF2B5EF4-FFF2-40B4-BE49-F238E27FC236}">
              <a16:creationId xmlns:a16="http://schemas.microsoft.com/office/drawing/2014/main" id="{00000000-0008-0000-0000-000012000000}"/>
            </a:ext>
          </a:extLst>
        </xdr:cNvPr>
        <xdr:cNvSpPr>
          <a:spLocks noChangeArrowheads="1"/>
        </xdr:cNvSpPr>
      </xdr:nvSpPr>
      <xdr:spPr bwMode="auto">
        <a:xfrm>
          <a:off x="1095375" y="3257550"/>
          <a:ext cx="0" cy="47625"/>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18</xdr:row>
      <xdr:rowOff>85725</xdr:rowOff>
    </xdr:from>
    <xdr:to>
      <xdr:col>1</xdr:col>
      <xdr:colOff>0</xdr:colOff>
      <xdr:row>19</xdr:row>
      <xdr:rowOff>161925</xdr:rowOff>
    </xdr:to>
    <xdr:grpSp>
      <xdr:nvGrpSpPr>
        <xdr:cNvPr id="19" name="Group 55">
          <a:extLst>
            <a:ext uri="{FF2B5EF4-FFF2-40B4-BE49-F238E27FC236}">
              <a16:creationId xmlns:a16="http://schemas.microsoft.com/office/drawing/2014/main" id="{00000000-0008-0000-0000-000013000000}"/>
            </a:ext>
          </a:extLst>
        </xdr:cNvPr>
        <xdr:cNvGrpSpPr>
          <a:grpSpLocks/>
        </xdr:cNvGrpSpPr>
      </xdr:nvGrpSpPr>
      <xdr:grpSpPr bwMode="auto">
        <a:xfrm>
          <a:off x="1095375" y="3305175"/>
          <a:ext cx="0" cy="276225"/>
          <a:chOff x="67" y="192"/>
          <a:chExt cx="60" cy="29"/>
        </a:xfrm>
      </xdr:grpSpPr>
      <xdr:sp macro="" textlink="">
        <xdr:nvSpPr>
          <xdr:cNvPr id="20" name="Rectangle 56">
            <a:extLst>
              <a:ext uri="{FF2B5EF4-FFF2-40B4-BE49-F238E27FC236}">
                <a16:creationId xmlns:a16="http://schemas.microsoft.com/office/drawing/2014/main" id="{00000000-0008-0000-0000-000014000000}"/>
              </a:ext>
            </a:extLst>
          </xdr:cNvPr>
          <xdr:cNvSpPr>
            <a:spLocks noChangeArrowheads="1"/>
          </xdr:cNvSpPr>
        </xdr:nvSpPr>
        <xdr:spPr bwMode="auto">
          <a:xfrm>
            <a:off x="67" y="192"/>
            <a:ext cx="60" cy="29"/>
          </a:xfrm>
          <a:prstGeom prst="rect">
            <a:avLst/>
          </a:prstGeom>
          <a:solidFill>
            <a:srgbClr val="FFFF00"/>
          </a:solidFill>
          <a:ln w="9525">
            <a:solidFill>
              <a:srgbClr val="000000"/>
            </a:solidFill>
            <a:miter lim="800000"/>
            <a:headEnd/>
            <a:tailEnd/>
          </a:ln>
        </xdr:spPr>
      </xdr:sp>
      <xdr:grpSp>
        <xdr:nvGrpSpPr>
          <xdr:cNvPr id="21" name="Group 57">
            <a:extLst>
              <a:ext uri="{FF2B5EF4-FFF2-40B4-BE49-F238E27FC236}">
                <a16:creationId xmlns:a16="http://schemas.microsoft.com/office/drawing/2014/main" id="{00000000-0008-0000-0000-000015000000}"/>
              </a:ext>
            </a:extLst>
          </xdr:cNvPr>
          <xdr:cNvGrpSpPr>
            <a:grpSpLocks/>
          </xdr:cNvGrpSpPr>
        </xdr:nvGrpSpPr>
        <xdr:grpSpPr bwMode="auto">
          <a:xfrm>
            <a:off x="75" y="194"/>
            <a:ext cx="17" cy="10"/>
            <a:chOff x="73" y="126"/>
            <a:chExt cx="17" cy="10"/>
          </a:xfrm>
        </xdr:grpSpPr>
        <xdr:sp macro="" textlink="">
          <xdr:nvSpPr>
            <xdr:cNvPr id="38" name="AutoShape 58">
              <a:extLst>
                <a:ext uri="{FF2B5EF4-FFF2-40B4-BE49-F238E27FC236}">
                  <a16:creationId xmlns:a16="http://schemas.microsoft.com/office/drawing/2014/main" id="{00000000-0008-0000-0000-000026000000}"/>
                </a:ext>
              </a:extLst>
            </xdr:cNvPr>
            <xdr:cNvSpPr>
              <a:spLocks noChangeArrowheads="1"/>
            </xdr:cNvSpPr>
          </xdr:nvSpPr>
          <xdr:spPr bwMode="auto">
            <a:xfrm>
              <a:off x="73" y="126"/>
              <a:ext cx="17" cy="10"/>
            </a:xfrm>
            <a:prstGeom prst="roundRect">
              <a:avLst>
                <a:gd name="adj" fmla="val 16667"/>
              </a:avLst>
            </a:prstGeom>
            <a:solidFill>
              <a:srgbClr val="FFFF00"/>
            </a:solidFill>
            <a:ln w="9525">
              <a:solidFill>
                <a:srgbClr val="000000"/>
              </a:solidFill>
              <a:round/>
              <a:headEnd/>
              <a:tailEnd/>
            </a:ln>
          </xdr:spPr>
        </xdr:sp>
        <xdr:sp macro="" textlink="">
          <xdr:nvSpPr>
            <xdr:cNvPr id="39" name="Line 59">
              <a:extLst>
                <a:ext uri="{FF2B5EF4-FFF2-40B4-BE49-F238E27FC236}">
                  <a16:creationId xmlns:a16="http://schemas.microsoft.com/office/drawing/2014/main" id="{00000000-0008-0000-0000-000027000000}"/>
                </a:ext>
              </a:extLst>
            </xdr:cNvPr>
            <xdr:cNvSpPr>
              <a:spLocks noChangeShapeType="1"/>
            </xdr:cNvSpPr>
          </xdr:nvSpPr>
          <xdr:spPr bwMode="auto">
            <a:xfrm>
              <a:off x="73" y="129"/>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 name="Line 60">
              <a:extLst>
                <a:ext uri="{FF2B5EF4-FFF2-40B4-BE49-F238E27FC236}">
                  <a16:creationId xmlns:a16="http://schemas.microsoft.com/office/drawing/2014/main" id="{00000000-0008-0000-0000-000028000000}"/>
                </a:ext>
              </a:extLst>
            </xdr:cNvPr>
            <xdr:cNvSpPr>
              <a:spLocks noChangeShapeType="1"/>
            </xdr:cNvSpPr>
          </xdr:nvSpPr>
          <xdr:spPr bwMode="auto">
            <a:xfrm>
              <a:off x="73" y="131"/>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Line 61">
              <a:extLst>
                <a:ext uri="{FF2B5EF4-FFF2-40B4-BE49-F238E27FC236}">
                  <a16:creationId xmlns:a16="http://schemas.microsoft.com/office/drawing/2014/main" id="{00000000-0008-0000-0000-000029000000}"/>
                </a:ext>
              </a:extLst>
            </xdr:cNvPr>
            <xdr:cNvSpPr>
              <a:spLocks noChangeShapeType="1"/>
            </xdr:cNvSpPr>
          </xdr:nvSpPr>
          <xdr:spPr bwMode="auto">
            <a:xfrm>
              <a:off x="73" y="133"/>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22" name="Group 62">
            <a:extLst>
              <a:ext uri="{FF2B5EF4-FFF2-40B4-BE49-F238E27FC236}">
                <a16:creationId xmlns:a16="http://schemas.microsoft.com/office/drawing/2014/main" id="{00000000-0008-0000-0000-000016000000}"/>
              </a:ext>
            </a:extLst>
          </xdr:cNvPr>
          <xdr:cNvGrpSpPr>
            <a:grpSpLocks/>
          </xdr:cNvGrpSpPr>
        </xdr:nvGrpSpPr>
        <xdr:grpSpPr bwMode="auto">
          <a:xfrm>
            <a:off x="75" y="208"/>
            <a:ext cx="17" cy="10"/>
            <a:chOff x="73" y="126"/>
            <a:chExt cx="17" cy="10"/>
          </a:xfrm>
        </xdr:grpSpPr>
        <xdr:sp macro="" textlink="">
          <xdr:nvSpPr>
            <xdr:cNvPr id="34" name="AutoShape 63">
              <a:extLst>
                <a:ext uri="{FF2B5EF4-FFF2-40B4-BE49-F238E27FC236}">
                  <a16:creationId xmlns:a16="http://schemas.microsoft.com/office/drawing/2014/main" id="{00000000-0008-0000-0000-000022000000}"/>
                </a:ext>
              </a:extLst>
            </xdr:cNvPr>
            <xdr:cNvSpPr>
              <a:spLocks noChangeArrowheads="1"/>
            </xdr:cNvSpPr>
          </xdr:nvSpPr>
          <xdr:spPr bwMode="auto">
            <a:xfrm>
              <a:off x="73" y="126"/>
              <a:ext cx="17" cy="10"/>
            </a:xfrm>
            <a:prstGeom prst="roundRect">
              <a:avLst>
                <a:gd name="adj" fmla="val 16667"/>
              </a:avLst>
            </a:prstGeom>
            <a:solidFill>
              <a:srgbClr val="FFFF00"/>
            </a:solidFill>
            <a:ln w="9525">
              <a:solidFill>
                <a:srgbClr val="000000"/>
              </a:solidFill>
              <a:round/>
              <a:headEnd/>
              <a:tailEnd/>
            </a:ln>
          </xdr:spPr>
        </xdr:sp>
        <xdr:sp macro="" textlink="">
          <xdr:nvSpPr>
            <xdr:cNvPr id="35" name="Line 64">
              <a:extLst>
                <a:ext uri="{FF2B5EF4-FFF2-40B4-BE49-F238E27FC236}">
                  <a16:creationId xmlns:a16="http://schemas.microsoft.com/office/drawing/2014/main" id="{00000000-0008-0000-0000-000023000000}"/>
                </a:ext>
              </a:extLst>
            </xdr:cNvPr>
            <xdr:cNvSpPr>
              <a:spLocks noChangeShapeType="1"/>
            </xdr:cNvSpPr>
          </xdr:nvSpPr>
          <xdr:spPr bwMode="auto">
            <a:xfrm>
              <a:off x="73" y="129"/>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65">
              <a:extLst>
                <a:ext uri="{FF2B5EF4-FFF2-40B4-BE49-F238E27FC236}">
                  <a16:creationId xmlns:a16="http://schemas.microsoft.com/office/drawing/2014/main" id="{00000000-0008-0000-0000-000024000000}"/>
                </a:ext>
              </a:extLst>
            </xdr:cNvPr>
            <xdr:cNvSpPr>
              <a:spLocks noChangeShapeType="1"/>
            </xdr:cNvSpPr>
          </xdr:nvSpPr>
          <xdr:spPr bwMode="auto">
            <a:xfrm>
              <a:off x="73" y="131"/>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 name="Line 66">
              <a:extLst>
                <a:ext uri="{FF2B5EF4-FFF2-40B4-BE49-F238E27FC236}">
                  <a16:creationId xmlns:a16="http://schemas.microsoft.com/office/drawing/2014/main" id="{00000000-0008-0000-0000-000025000000}"/>
                </a:ext>
              </a:extLst>
            </xdr:cNvPr>
            <xdr:cNvSpPr>
              <a:spLocks noChangeShapeType="1"/>
            </xdr:cNvSpPr>
          </xdr:nvSpPr>
          <xdr:spPr bwMode="auto">
            <a:xfrm>
              <a:off x="73" y="133"/>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23" name="Group 67">
            <a:extLst>
              <a:ext uri="{FF2B5EF4-FFF2-40B4-BE49-F238E27FC236}">
                <a16:creationId xmlns:a16="http://schemas.microsoft.com/office/drawing/2014/main" id="{00000000-0008-0000-0000-000017000000}"/>
              </a:ext>
            </a:extLst>
          </xdr:cNvPr>
          <xdr:cNvGrpSpPr>
            <a:grpSpLocks/>
          </xdr:cNvGrpSpPr>
        </xdr:nvGrpSpPr>
        <xdr:grpSpPr bwMode="auto">
          <a:xfrm>
            <a:off x="104" y="195"/>
            <a:ext cx="17" cy="10"/>
            <a:chOff x="73" y="126"/>
            <a:chExt cx="17" cy="10"/>
          </a:xfrm>
        </xdr:grpSpPr>
        <xdr:sp macro="" textlink="">
          <xdr:nvSpPr>
            <xdr:cNvPr id="30" name="AutoShape 68">
              <a:extLst>
                <a:ext uri="{FF2B5EF4-FFF2-40B4-BE49-F238E27FC236}">
                  <a16:creationId xmlns:a16="http://schemas.microsoft.com/office/drawing/2014/main" id="{00000000-0008-0000-0000-00001E000000}"/>
                </a:ext>
              </a:extLst>
            </xdr:cNvPr>
            <xdr:cNvSpPr>
              <a:spLocks noChangeArrowheads="1"/>
            </xdr:cNvSpPr>
          </xdr:nvSpPr>
          <xdr:spPr bwMode="auto">
            <a:xfrm>
              <a:off x="73" y="126"/>
              <a:ext cx="17" cy="10"/>
            </a:xfrm>
            <a:prstGeom prst="roundRect">
              <a:avLst>
                <a:gd name="adj" fmla="val 16667"/>
              </a:avLst>
            </a:prstGeom>
            <a:solidFill>
              <a:srgbClr val="FFFF00"/>
            </a:solidFill>
            <a:ln w="9525">
              <a:solidFill>
                <a:srgbClr val="000000"/>
              </a:solidFill>
              <a:round/>
              <a:headEnd/>
              <a:tailEnd/>
            </a:ln>
          </xdr:spPr>
        </xdr:sp>
        <xdr:sp macro="" textlink="">
          <xdr:nvSpPr>
            <xdr:cNvPr id="31" name="Line 69">
              <a:extLst>
                <a:ext uri="{FF2B5EF4-FFF2-40B4-BE49-F238E27FC236}">
                  <a16:creationId xmlns:a16="http://schemas.microsoft.com/office/drawing/2014/main" id="{00000000-0008-0000-0000-00001F000000}"/>
                </a:ext>
              </a:extLst>
            </xdr:cNvPr>
            <xdr:cNvSpPr>
              <a:spLocks noChangeShapeType="1"/>
            </xdr:cNvSpPr>
          </xdr:nvSpPr>
          <xdr:spPr bwMode="auto">
            <a:xfrm>
              <a:off x="73" y="129"/>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2" name="Line 70">
              <a:extLst>
                <a:ext uri="{FF2B5EF4-FFF2-40B4-BE49-F238E27FC236}">
                  <a16:creationId xmlns:a16="http://schemas.microsoft.com/office/drawing/2014/main" id="{00000000-0008-0000-0000-000020000000}"/>
                </a:ext>
              </a:extLst>
            </xdr:cNvPr>
            <xdr:cNvSpPr>
              <a:spLocks noChangeShapeType="1"/>
            </xdr:cNvSpPr>
          </xdr:nvSpPr>
          <xdr:spPr bwMode="auto">
            <a:xfrm>
              <a:off x="73" y="131"/>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71">
              <a:extLst>
                <a:ext uri="{FF2B5EF4-FFF2-40B4-BE49-F238E27FC236}">
                  <a16:creationId xmlns:a16="http://schemas.microsoft.com/office/drawing/2014/main" id="{00000000-0008-0000-0000-000021000000}"/>
                </a:ext>
              </a:extLst>
            </xdr:cNvPr>
            <xdr:cNvSpPr>
              <a:spLocks noChangeShapeType="1"/>
            </xdr:cNvSpPr>
          </xdr:nvSpPr>
          <xdr:spPr bwMode="auto">
            <a:xfrm>
              <a:off x="73" y="133"/>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24" name="Group 72">
            <a:extLst>
              <a:ext uri="{FF2B5EF4-FFF2-40B4-BE49-F238E27FC236}">
                <a16:creationId xmlns:a16="http://schemas.microsoft.com/office/drawing/2014/main" id="{00000000-0008-0000-0000-000018000000}"/>
              </a:ext>
            </a:extLst>
          </xdr:cNvPr>
          <xdr:cNvGrpSpPr>
            <a:grpSpLocks/>
          </xdr:cNvGrpSpPr>
        </xdr:nvGrpSpPr>
        <xdr:grpSpPr bwMode="auto">
          <a:xfrm>
            <a:off x="104" y="208"/>
            <a:ext cx="17" cy="10"/>
            <a:chOff x="73" y="126"/>
            <a:chExt cx="17" cy="10"/>
          </a:xfrm>
        </xdr:grpSpPr>
        <xdr:sp macro="" textlink="">
          <xdr:nvSpPr>
            <xdr:cNvPr id="26" name="AutoShape 73">
              <a:extLst>
                <a:ext uri="{FF2B5EF4-FFF2-40B4-BE49-F238E27FC236}">
                  <a16:creationId xmlns:a16="http://schemas.microsoft.com/office/drawing/2014/main" id="{00000000-0008-0000-0000-00001A000000}"/>
                </a:ext>
              </a:extLst>
            </xdr:cNvPr>
            <xdr:cNvSpPr>
              <a:spLocks noChangeArrowheads="1"/>
            </xdr:cNvSpPr>
          </xdr:nvSpPr>
          <xdr:spPr bwMode="auto">
            <a:xfrm>
              <a:off x="73" y="126"/>
              <a:ext cx="17" cy="10"/>
            </a:xfrm>
            <a:prstGeom prst="roundRect">
              <a:avLst>
                <a:gd name="adj" fmla="val 16667"/>
              </a:avLst>
            </a:prstGeom>
            <a:solidFill>
              <a:srgbClr val="FFFF00"/>
            </a:solidFill>
            <a:ln w="9525">
              <a:solidFill>
                <a:srgbClr val="000000"/>
              </a:solidFill>
              <a:round/>
              <a:headEnd/>
              <a:tailEnd/>
            </a:ln>
          </xdr:spPr>
        </xdr:sp>
        <xdr:sp macro="" textlink="">
          <xdr:nvSpPr>
            <xdr:cNvPr id="27" name="Line 74">
              <a:extLst>
                <a:ext uri="{FF2B5EF4-FFF2-40B4-BE49-F238E27FC236}">
                  <a16:creationId xmlns:a16="http://schemas.microsoft.com/office/drawing/2014/main" id="{00000000-0008-0000-0000-00001B000000}"/>
                </a:ext>
              </a:extLst>
            </xdr:cNvPr>
            <xdr:cNvSpPr>
              <a:spLocks noChangeShapeType="1"/>
            </xdr:cNvSpPr>
          </xdr:nvSpPr>
          <xdr:spPr bwMode="auto">
            <a:xfrm>
              <a:off x="73" y="129"/>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 name="Line 75">
              <a:extLst>
                <a:ext uri="{FF2B5EF4-FFF2-40B4-BE49-F238E27FC236}">
                  <a16:creationId xmlns:a16="http://schemas.microsoft.com/office/drawing/2014/main" id="{00000000-0008-0000-0000-00001C000000}"/>
                </a:ext>
              </a:extLst>
            </xdr:cNvPr>
            <xdr:cNvSpPr>
              <a:spLocks noChangeShapeType="1"/>
            </xdr:cNvSpPr>
          </xdr:nvSpPr>
          <xdr:spPr bwMode="auto">
            <a:xfrm>
              <a:off x="73" y="131"/>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76">
              <a:extLst>
                <a:ext uri="{FF2B5EF4-FFF2-40B4-BE49-F238E27FC236}">
                  <a16:creationId xmlns:a16="http://schemas.microsoft.com/office/drawing/2014/main" id="{00000000-0008-0000-0000-00001D000000}"/>
                </a:ext>
              </a:extLst>
            </xdr:cNvPr>
            <xdr:cNvSpPr>
              <a:spLocks noChangeShapeType="1"/>
            </xdr:cNvSpPr>
          </xdr:nvSpPr>
          <xdr:spPr bwMode="auto">
            <a:xfrm>
              <a:off x="73" y="133"/>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5" name="Rectangle 77">
            <a:extLst>
              <a:ext uri="{FF2B5EF4-FFF2-40B4-BE49-F238E27FC236}">
                <a16:creationId xmlns:a16="http://schemas.microsoft.com/office/drawing/2014/main" id="{00000000-0008-0000-0000-000019000000}"/>
              </a:ext>
            </a:extLst>
          </xdr:cNvPr>
          <xdr:cNvSpPr>
            <a:spLocks noChangeArrowheads="1"/>
          </xdr:cNvSpPr>
        </xdr:nvSpPr>
        <xdr:spPr bwMode="auto">
          <a:xfrm>
            <a:off x="97" y="215"/>
            <a:ext cx="3" cy="4"/>
          </a:xfrm>
          <a:prstGeom prst="rect">
            <a:avLst/>
          </a:prstGeom>
          <a:solidFill>
            <a:srgbClr val="FFFF00"/>
          </a:solidFill>
          <a:ln w="9525">
            <a:solidFill>
              <a:srgbClr val="000000"/>
            </a:solidFill>
            <a:miter lim="800000"/>
            <a:headEnd/>
            <a:tailEnd/>
          </a:ln>
        </xdr:spPr>
      </xdr:sp>
    </xdr:grpSp>
    <xdr:clientData/>
  </xdr:twoCellAnchor>
  <xdr:twoCellAnchor>
    <xdr:from>
      <xdr:col>1</xdr:col>
      <xdr:colOff>0</xdr:colOff>
      <xdr:row>19</xdr:row>
      <xdr:rowOff>161925</xdr:rowOff>
    </xdr:from>
    <xdr:to>
      <xdr:col>1</xdr:col>
      <xdr:colOff>0</xdr:colOff>
      <xdr:row>20</xdr:row>
      <xdr:rowOff>9525</xdr:rowOff>
    </xdr:to>
    <xdr:sp macro="" textlink="">
      <xdr:nvSpPr>
        <xdr:cNvPr id="42" name="Rectangle 78">
          <a:extLst>
            <a:ext uri="{FF2B5EF4-FFF2-40B4-BE49-F238E27FC236}">
              <a16:creationId xmlns:a16="http://schemas.microsoft.com/office/drawing/2014/main" id="{00000000-0008-0000-0000-00002A000000}"/>
            </a:ext>
          </a:extLst>
        </xdr:cNvPr>
        <xdr:cNvSpPr>
          <a:spLocks noChangeArrowheads="1"/>
        </xdr:cNvSpPr>
      </xdr:nvSpPr>
      <xdr:spPr bwMode="auto">
        <a:xfrm>
          <a:off x="1095375" y="3581400"/>
          <a:ext cx="0" cy="47625"/>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21</xdr:row>
      <xdr:rowOff>57150</xdr:rowOff>
    </xdr:from>
    <xdr:to>
      <xdr:col>1</xdr:col>
      <xdr:colOff>0</xdr:colOff>
      <xdr:row>22</xdr:row>
      <xdr:rowOff>66675</xdr:rowOff>
    </xdr:to>
    <xdr:sp macro="" textlink="">
      <xdr:nvSpPr>
        <xdr:cNvPr id="43" name="Rectangle 79">
          <a:extLst>
            <a:ext uri="{FF2B5EF4-FFF2-40B4-BE49-F238E27FC236}">
              <a16:creationId xmlns:a16="http://schemas.microsoft.com/office/drawing/2014/main" id="{00000000-0008-0000-0000-00002B000000}"/>
            </a:ext>
          </a:extLst>
        </xdr:cNvPr>
        <xdr:cNvSpPr>
          <a:spLocks noChangeArrowheads="1"/>
        </xdr:cNvSpPr>
      </xdr:nvSpPr>
      <xdr:spPr bwMode="auto">
        <a:xfrm>
          <a:off x="1095375" y="3876675"/>
          <a:ext cx="0" cy="209550"/>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18</xdr:row>
      <xdr:rowOff>9525</xdr:rowOff>
    </xdr:from>
    <xdr:to>
      <xdr:col>1</xdr:col>
      <xdr:colOff>0</xdr:colOff>
      <xdr:row>18</xdr:row>
      <xdr:rowOff>38100</xdr:rowOff>
    </xdr:to>
    <xdr:sp macro="" textlink="">
      <xdr:nvSpPr>
        <xdr:cNvPr id="44" name="Rectangle 80">
          <a:extLst>
            <a:ext uri="{FF2B5EF4-FFF2-40B4-BE49-F238E27FC236}">
              <a16:creationId xmlns:a16="http://schemas.microsoft.com/office/drawing/2014/main" id="{00000000-0008-0000-0000-00002C000000}"/>
            </a:ext>
          </a:extLst>
        </xdr:cNvPr>
        <xdr:cNvSpPr>
          <a:spLocks noChangeArrowheads="1"/>
        </xdr:cNvSpPr>
      </xdr:nvSpPr>
      <xdr:spPr bwMode="auto">
        <a:xfrm>
          <a:off x="1095375" y="3228975"/>
          <a:ext cx="0" cy="28575"/>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20</xdr:row>
      <xdr:rowOff>9525</xdr:rowOff>
    </xdr:from>
    <xdr:to>
      <xdr:col>1</xdr:col>
      <xdr:colOff>0</xdr:colOff>
      <xdr:row>20</xdr:row>
      <xdr:rowOff>38100</xdr:rowOff>
    </xdr:to>
    <xdr:sp macro="" textlink="">
      <xdr:nvSpPr>
        <xdr:cNvPr id="45" name="Rectangle 81">
          <a:extLst>
            <a:ext uri="{FF2B5EF4-FFF2-40B4-BE49-F238E27FC236}">
              <a16:creationId xmlns:a16="http://schemas.microsoft.com/office/drawing/2014/main" id="{00000000-0008-0000-0000-00002D000000}"/>
            </a:ext>
          </a:extLst>
        </xdr:cNvPr>
        <xdr:cNvSpPr>
          <a:spLocks noChangeArrowheads="1"/>
        </xdr:cNvSpPr>
      </xdr:nvSpPr>
      <xdr:spPr bwMode="auto">
        <a:xfrm>
          <a:off x="1095375" y="3629025"/>
          <a:ext cx="0" cy="28575"/>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20</xdr:row>
      <xdr:rowOff>47625</xdr:rowOff>
    </xdr:from>
    <xdr:to>
      <xdr:col>1</xdr:col>
      <xdr:colOff>0</xdr:colOff>
      <xdr:row>20</xdr:row>
      <xdr:rowOff>171450</xdr:rowOff>
    </xdr:to>
    <xdr:sp macro="" textlink="">
      <xdr:nvSpPr>
        <xdr:cNvPr id="46" name="AutoShape 82">
          <a:extLst>
            <a:ext uri="{FF2B5EF4-FFF2-40B4-BE49-F238E27FC236}">
              <a16:creationId xmlns:a16="http://schemas.microsoft.com/office/drawing/2014/main" id="{00000000-0008-0000-0000-00002E000000}"/>
            </a:ext>
          </a:extLst>
        </xdr:cNvPr>
        <xdr:cNvSpPr>
          <a:spLocks noChangeArrowheads="1"/>
        </xdr:cNvSpPr>
      </xdr:nvSpPr>
      <xdr:spPr bwMode="auto">
        <a:xfrm>
          <a:off x="1095375" y="3667125"/>
          <a:ext cx="0" cy="123825"/>
        </a:xfrm>
        <a:prstGeom prst="roundRect">
          <a:avLst>
            <a:gd name="adj" fmla="val 16667"/>
          </a:avLst>
        </a:prstGeom>
        <a:solidFill>
          <a:srgbClr val="800000"/>
        </a:solidFill>
        <a:ln w="9525">
          <a:solidFill>
            <a:srgbClr val="000000"/>
          </a:solidFill>
          <a:round/>
          <a:headEnd/>
          <a:tailEnd/>
        </a:ln>
      </xdr:spPr>
    </xdr:sp>
    <xdr:clientData/>
  </xdr:twoCellAnchor>
  <xdr:twoCellAnchor>
    <xdr:from>
      <xdr:col>1</xdr:col>
      <xdr:colOff>0</xdr:colOff>
      <xdr:row>20</xdr:row>
      <xdr:rowOff>180975</xdr:rowOff>
    </xdr:from>
    <xdr:to>
      <xdr:col>1</xdr:col>
      <xdr:colOff>0</xdr:colOff>
      <xdr:row>21</xdr:row>
      <xdr:rowOff>9525</xdr:rowOff>
    </xdr:to>
    <xdr:sp macro="" textlink="">
      <xdr:nvSpPr>
        <xdr:cNvPr id="47" name="Rectangle 83">
          <a:extLst>
            <a:ext uri="{FF2B5EF4-FFF2-40B4-BE49-F238E27FC236}">
              <a16:creationId xmlns:a16="http://schemas.microsoft.com/office/drawing/2014/main" id="{00000000-0008-0000-0000-00002F000000}"/>
            </a:ext>
          </a:extLst>
        </xdr:cNvPr>
        <xdr:cNvSpPr>
          <a:spLocks noChangeArrowheads="1"/>
        </xdr:cNvSpPr>
      </xdr:nvSpPr>
      <xdr:spPr bwMode="auto">
        <a:xfrm>
          <a:off x="1095375" y="3800475"/>
          <a:ext cx="0" cy="28575"/>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40</xdr:row>
      <xdr:rowOff>9525</xdr:rowOff>
    </xdr:from>
    <xdr:to>
      <xdr:col>1</xdr:col>
      <xdr:colOff>0</xdr:colOff>
      <xdr:row>53</xdr:row>
      <xdr:rowOff>104775</xdr:rowOff>
    </xdr:to>
    <xdr:grpSp>
      <xdr:nvGrpSpPr>
        <xdr:cNvPr id="48" name="Group 84">
          <a:extLst>
            <a:ext uri="{FF2B5EF4-FFF2-40B4-BE49-F238E27FC236}">
              <a16:creationId xmlns:a16="http://schemas.microsoft.com/office/drawing/2014/main" id="{00000000-0008-0000-0000-000030000000}"/>
            </a:ext>
          </a:extLst>
        </xdr:cNvPr>
        <xdr:cNvGrpSpPr>
          <a:grpSpLocks/>
        </xdr:cNvGrpSpPr>
      </xdr:nvGrpSpPr>
      <xdr:grpSpPr bwMode="auto">
        <a:xfrm>
          <a:off x="1095375" y="7629525"/>
          <a:ext cx="0" cy="2695575"/>
          <a:chOff x="76" y="733"/>
          <a:chExt cx="38" cy="283"/>
        </a:xfrm>
      </xdr:grpSpPr>
      <xdr:grpSp>
        <xdr:nvGrpSpPr>
          <xdr:cNvPr id="49" name="Group 85">
            <a:extLst>
              <a:ext uri="{FF2B5EF4-FFF2-40B4-BE49-F238E27FC236}">
                <a16:creationId xmlns:a16="http://schemas.microsoft.com/office/drawing/2014/main" id="{00000000-0008-0000-0000-000031000000}"/>
              </a:ext>
            </a:extLst>
          </xdr:cNvPr>
          <xdr:cNvGrpSpPr>
            <a:grpSpLocks/>
          </xdr:cNvGrpSpPr>
        </xdr:nvGrpSpPr>
        <xdr:grpSpPr bwMode="auto">
          <a:xfrm>
            <a:off x="72" y="737"/>
            <a:ext cx="39" cy="251"/>
            <a:chOff x="280" y="76"/>
            <a:chExt cx="54" cy="825"/>
          </a:xfrm>
        </xdr:grpSpPr>
        <xdr:sp macro="" textlink="">
          <xdr:nvSpPr>
            <xdr:cNvPr id="57" name="AutoShape 86">
              <a:extLst>
                <a:ext uri="{FF2B5EF4-FFF2-40B4-BE49-F238E27FC236}">
                  <a16:creationId xmlns:a16="http://schemas.microsoft.com/office/drawing/2014/main" id="{00000000-0008-0000-0000-000039000000}"/>
                </a:ext>
              </a:extLst>
            </xdr:cNvPr>
            <xdr:cNvSpPr>
              <a:spLocks noChangeArrowheads="1"/>
            </xdr:cNvSpPr>
          </xdr:nvSpPr>
          <xdr:spPr bwMode="auto">
            <a:xfrm rot="-5381250">
              <a:off x="289" y="740"/>
              <a:ext cx="36" cy="44"/>
            </a:xfrm>
            <a:prstGeom prst="flowChartManualInput">
              <a:avLst/>
            </a:prstGeom>
            <a:solidFill>
              <a:srgbClr val="FF0000"/>
            </a:solidFill>
            <a:ln w="9525">
              <a:solidFill>
                <a:srgbClr val="000000"/>
              </a:solidFill>
              <a:miter lim="800000"/>
              <a:headEnd/>
              <a:tailEnd/>
            </a:ln>
          </xdr:spPr>
        </xdr:sp>
        <xdr:sp macro="" textlink="">
          <xdr:nvSpPr>
            <xdr:cNvPr id="58" name="AutoShape 87">
              <a:extLst>
                <a:ext uri="{FF2B5EF4-FFF2-40B4-BE49-F238E27FC236}">
                  <a16:creationId xmlns:a16="http://schemas.microsoft.com/office/drawing/2014/main" id="{00000000-0008-0000-0000-00003A000000}"/>
                </a:ext>
              </a:extLst>
            </xdr:cNvPr>
            <xdr:cNvSpPr>
              <a:spLocks noChangeArrowheads="1"/>
            </xdr:cNvSpPr>
          </xdr:nvSpPr>
          <xdr:spPr bwMode="auto">
            <a:xfrm rot="10800000">
              <a:off x="282" y="104"/>
              <a:ext cx="52"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2 w 21600"/>
                <a:gd name="T13" fmla="*/ 3600 h 21600"/>
                <a:gd name="T14" fmla="*/ 19108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59" name="AutoShape 88">
              <a:extLst>
                <a:ext uri="{FF2B5EF4-FFF2-40B4-BE49-F238E27FC236}">
                  <a16:creationId xmlns:a16="http://schemas.microsoft.com/office/drawing/2014/main" id="{00000000-0008-0000-0000-00003B000000}"/>
                </a:ext>
              </a:extLst>
            </xdr:cNvPr>
            <xdr:cNvSpPr>
              <a:spLocks noChangeArrowheads="1"/>
            </xdr:cNvSpPr>
          </xdr:nvSpPr>
          <xdr:spPr bwMode="auto">
            <a:xfrm rot="10800000">
              <a:off x="282" y="101"/>
              <a:ext cx="52" cy="5"/>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2 w 21600"/>
                <a:gd name="T13" fmla="*/ 4320 h 21600"/>
                <a:gd name="T14" fmla="*/ 19108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60" name="AutoShape 89">
              <a:extLst>
                <a:ext uri="{FF2B5EF4-FFF2-40B4-BE49-F238E27FC236}">
                  <a16:creationId xmlns:a16="http://schemas.microsoft.com/office/drawing/2014/main" id="{00000000-0008-0000-0000-00003C000000}"/>
                </a:ext>
              </a:extLst>
            </xdr:cNvPr>
            <xdr:cNvSpPr>
              <a:spLocks noChangeArrowheads="1"/>
            </xdr:cNvSpPr>
          </xdr:nvSpPr>
          <xdr:spPr bwMode="auto">
            <a:xfrm rot="10800000">
              <a:off x="282" y="97"/>
              <a:ext cx="52" cy="5"/>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2 w 21600"/>
                <a:gd name="T13" fmla="*/ 4320 h 21600"/>
                <a:gd name="T14" fmla="*/ 19108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61" name="AutoShape 90">
              <a:extLst>
                <a:ext uri="{FF2B5EF4-FFF2-40B4-BE49-F238E27FC236}">
                  <a16:creationId xmlns:a16="http://schemas.microsoft.com/office/drawing/2014/main" id="{00000000-0008-0000-0000-00003D000000}"/>
                </a:ext>
              </a:extLst>
            </xdr:cNvPr>
            <xdr:cNvSpPr>
              <a:spLocks noChangeArrowheads="1"/>
            </xdr:cNvSpPr>
          </xdr:nvSpPr>
          <xdr:spPr bwMode="auto">
            <a:xfrm rot="10800000">
              <a:off x="282" y="92"/>
              <a:ext cx="52"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2 w 21600"/>
                <a:gd name="T13" fmla="*/ 3600 h 21600"/>
                <a:gd name="T14" fmla="*/ 19108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62" name="AutoShape 91">
              <a:extLst>
                <a:ext uri="{FF2B5EF4-FFF2-40B4-BE49-F238E27FC236}">
                  <a16:creationId xmlns:a16="http://schemas.microsoft.com/office/drawing/2014/main" id="{00000000-0008-0000-0000-00003E000000}"/>
                </a:ext>
              </a:extLst>
            </xdr:cNvPr>
            <xdr:cNvSpPr>
              <a:spLocks noChangeArrowheads="1"/>
            </xdr:cNvSpPr>
          </xdr:nvSpPr>
          <xdr:spPr bwMode="auto">
            <a:xfrm rot="10800000">
              <a:off x="282" y="88"/>
              <a:ext cx="52"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2 w 21600"/>
                <a:gd name="T13" fmla="*/ 3600 h 21600"/>
                <a:gd name="T14" fmla="*/ 19108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63" name="AutoShape 92">
              <a:extLst>
                <a:ext uri="{FF2B5EF4-FFF2-40B4-BE49-F238E27FC236}">
                  <a16:creationId xmlns:a16="http://schemas.microsoft.com/office/drawing/2014/main" id="{00000000-0008-0000-0000-00003F000000}"/>
                </a:ext>
              </a:extLst>
            </xdr:cNvPr>
            <xdr:cNvSpPr>
              <a:spLocks noChangeArrowheads="1"/>
            </xdr:cNvSpPr>
          </xdr:nvSpPr>
          <xdr:spPr bwMode="auto">
            <a:xfrm rot="10800000">
              <a:off x="282" y="84"/>
              <a:ext cx="52"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2 w 21600"/>
                <a:gd name="T13" fmla="*/ 3600 h 21600"/>
                <a:gd name="T14" fmla="*/ 19108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64" name="AutoShape 93">
              <a:extLst>
                <a:ext uri="{FF2B5EF4-FFF2-40B4-BE49-F238E27FC236}">
                  <a16:creationId xmlns:a16="http://schemas.microsoft.com/office/drawing/2014/main" id="{00000000-0008-0000-0000-000040000000}"/>
                </a:ext>
              </a:extLst>
            </xdr:cNvPr>
            <xdr:cNvSpPr>
              <a:spLocks noChangeArrowheads="1"/>
            </xdr:cNvSpPr>
          </xdr:nvSpPr>
          <xdr:spPr bwMode="auto">
            <a:xfrm rot="10800000">
              <a:off x="282" y="80"/>
              <a:ext cx="52"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2 w 21600"/>
                <a:gd name="T13" fmla="*/ 3600 h 21600"/>
                <a:gd name="T14" fmla="*/ 19108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65" name="AutoShape 94">
              <a:extLst>
                <a:ext uri="{FF2B5EF4-FFF2-40B4-BE49-F238E27FC236}">
                  <a16:creationId xmlns:a16="http://schemas.microsoft.com/office/drawing/2014/main" id="{00000000-0008-0000-0000-000041000000}"/>
                </a:ext>
              </a:extLst>
            </xdr:cNvPr>
            <xdr:cNvSpPr>
              <a:spLocks noChangeArrowheads="1"/>
            </xdr:cNvSpPr>
          </xdr:nvSpPr>
          <xdr:spPr bwMode="auto">
            <a:xfrm rot="10800000">
              <a:off x="282" y="76"/>
              <a:ext cx="52"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2 w 21600"/>
                <a:gd name="T13" fmla="*/ 3600 h 21600"/>
                <a:gd name="T14" fmla="*/ 19108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66" name="Rectangle 95">
              <a:extLst>
                <a:ext uri="{FF2B5EF4-FFF2-40B4-BE49-F238E27FC236}">
                  <a16:creationId xmlns:a16="http://schemas.microsoft.com/office/drawing/2014/main" id="{00000000-0008-0000-0000-000042000000}"/>
                </a:ext>
              </a:extLst>
            </xdr:cNvPr>
            <xdr:cNvSpPr>
              <a:spLocks noChangeArrowheads="1"/>
            </xdr:cNvSpPr>
          </xdr:nvSpPr>
          <xdr:spPr bwMode="auto">
            <a:xfrm>
              <a:off x="283" y="110"/>
              <a:ext cx="50" cy="20"/>
            </a:xfrm>
            <a:prstGeom prst="rect">
              <a:avLst/>
            </a:prstGeom>
            <a:solidFill>
              <a:srgbClr val="FF0000"/>
            </a:solidFill>
            <a:ln w="9525">
              <a:solidFill>
                <a:srgbClr val="000000"/>
              </a:solidFill>
              <a:miter lim="800000"/>
              <a:headEnd/>
              <a:tailEnd/>
            </a:ln>
          </xdr:spPr>
        </xdr:sp>
        <xdr:sp macro="" textlink="">
          <xdr:nvSpPr>
            <xdr:cNvPr id="67" name="Rectangle 96">
              <a:extLst>
                <a:ext uri="{FF2B5EF4-FFF2-40B4-BE49-F238E27FC236}">
                  <a16:creationId xmlns:a16="http://schemas.microsoft.com/office/drawing/2014/main" id="{00000000-0008-0000-0000-000043000000}"/>
                </a:ext>
              </a:extLst>
            </xdr:cNvPr>
            <xdr:cNvSpPr>
              <a:spLocks noChangeArrowheads="1"/>
            </xdr:cNvSpPr>
          </xdr:nvSpPr>
          <xdr:spPr bwMode="auto">
            <a:xfrm>
              <a:off x="292" y="130"/>
              <a:ext cx="32" cy="30"/>
            </a:xfrm>
            <a:prstGeom prst="rect">
              <a:avLst/>
            </a:prstGeom>
            <a:solidFill>
              <a:srgbClr val="FF0000"/>
            </a:solidFill>
            <a:ln w="9525">
              <a:solidFill>
                <a:srgbClr val="000000"/>
              </a:solidFill>
              <a:miter lim="800000"/>
              <a:headEnd/>
              <a:tailEnd/>
            </a:ln>
          </xdr:spPr>
        </xdr:sp>
        <xdr:grpSp>
          <xdr:nvGrpSpPr>
            <xdr:cNvPr id="68" name="Group 97">
              <a:extLst>
                <a:ext uri="{FF2B5EF4-FFF2-40B4-BE49-F238E27FC236}">
                  <a16:creationId xmlns:a16="http://schemas.microsoft.com/office/drawing/2014/main" id="{00000000-0008-0000-0000-000044000000}"/>
                </a:ext>
              </a:extLst>
            </xdr:cNvPr>
            <xdr:cNvGrpSpPr>
              <a:grpSpLocks/>
            </xdr:cNvGrpSpPr>
          </xdr:nvGrpSpPr>
          <xdr:grpSpPr bwMode="auto">
            <a:xfrm>
              <a:off x="284" y="155"/>
              <a:ext cx="47" cy="28"/>
              <a:chOff x="199" y="264"/>
              <a:chExt cx="47" cy="28"/>
            </a:xfrm>
          </xdr:grpSpPr>
          <xdr:sp macro="" textlink="">
            <xdr:nvSpPr>
              <xdr:cNvPr id="148" name="Rectangle 98">
                <a:extLst>
                  <a:ext uri="{FF2B5EF4-FFF2-40B4-BE49-F238E27FC236}">
                    <a16:creationId xmlns:a16="http://schemas.microsoft.com/office/drawing/2014/main" id="{00000000-0008-0000-0000-000094000000}"/>
                  </a:ext>
                </a:extLst>
              </xdr:cNvPr>
              <xdr:cNvSpPr>
                <a:spLocks noChangeArrowheads="1"/>
              </xdr:cNvSpPr>
            </xdr:nvSpPr>
            <xdr:spPr bwMode="auto">
              <a:xfrm>
                <a:off x="202" y="264"/>
                <a:ext cx="6" cy="8"/>
              </a:xfrm>
              <a:prstGeom prst="rect">
                <a:avLst/>
              </a:prstGeom>
              <a:solidFill>
                <a:srgbClr val="FF0000"/>
              </a:solidFill>
              <a:ln w="9525">
                <a:solidFill>
                  <a:srgbClr val="000000"/>
                </a:solidFill>
                <a:miter lim="800000"/>
                <a:headEnd/>
                <a:tailEnd/>
              </a:ln>
            </xdr:spPr>
          </xdr:sp>
          <xdr:sp macro="" textlink="">
            <xdr:nvSpPr>
              <xdr:cNvPr id="149" name="Rectangle 99">
                <a:extLst>
                  <a:ext uri="{FF2B5EF4-FFF2-40B4-BE49-F238E27FC236}">
                    <a16:creationId xmlns:a16="http://schemas.microsoft.com/office/drawing/2014/main" id="{00000000-0008-0000-0000-000095000000}"/>
                  </a:ext>
                </a:extLst>
              </xdr:cNvPr>
              <xdr:cNvSpPr>
                <a:spLocks noChangeArrowheads="1"/>
              </xdr:cNvSpPr>
            </xdr:nvSpPr>
            <xdr:spPr bwMode="auto">
              <a:xfrm>
                <a:off x="199" y="269"/>
                <a:ext cx="47" cy="8"/>
              </a:xfrm>
              <a:prstGeom prst="rect">
                <a:avLst/>
              </a:prstGeom>
              <a:solidFill>
                <a:srgbClr val="FF0000"/>
              </a:solidFill>
              <a:ln w="9525">
                <a:solidFill>
                  <a:srgbClr val="000000"/>
                </a:solidFill>
                <a:miter lim="800000"/>
                <a:headEnd/>
                <a:tailEnd/>
              </a:ln>
            </xdr:spPr>
          </xdr:sp>
          <xdr:sp macro="" textlink="">
            <xdr:nvSpPr>
              <xdr:cNvPr id="150" name="Rectangle 100">
                <a:extLst>
                  <a:ext uri="{FF2B5EF4-FFF2-40B4-BE49-F238E27FC236}">
                    <a16:creationId xmlns:a16="http://schemas.microsoft.com/office/drawing/2014/main" id="{00000000-0008-0000-0000-000096000000}"/>
                  </a:ext>
                </a:extLst>
              </xdr:cNvPr>
              <xdr:cNvSpPr>
                <a:spLocks noChangeArrowheads="1"/>
              </xdr:cNvSpPr>
            </xdr:nvSpPr>
            <xdr:spPr bwMode="auto">
              <a:xfrm>
                <a:off x="238" y="264"/>
                <a:ext cx="6" cy="5"/>
              </a:xfrm>
              <a:prstGeom prst="rect">
                <a:avLst/>
              </a:prstGeom>
              <a:solidFill>
                <a:srgbClr val="FF0000"/>
              </a:solidFill>
              <a:ln w="9525">
                <a:solidFill>
                  <a:srgbClr val="000000"/>
                </a:solidFill>
                <a:miter lim="800000"/>
                <a:headEnd/>
                <a:tailEnd/>
              </a:ln>
            </xdr:spPr>
          </xdr:sp>
          <xdr:sp macro="" textlink="">
            <xdr:nvSpPr>
              <xdr:cNvPr id="151" name="Rectangle 101">
                <a:extLst>
                  <a:ext uri="{FF2B5EF4-FFF2-40B4-BE49-F238E27FC236}">
                    <a16:creationId xmlns:a16="http://schemas.microsoft.com/office/drawing/2014/main" id="{00000000-0008-0000-0000-000097000000}"/>
                  </a:ext>
                </a:extLst>
              </xdr:cNvPr>
              <xdr:cNvSpPr>
                <a:spLocks noChangeArrowheads="1"/>
              </xdr:cNvSpPr>
            </xdr:nvSpPr>
            <xdr:spPr bwMode="auto">
              <a:xfrm>
                <a:off x="225" y="264"/>
                <a:ext cx="6" cy="5"/>
              </a:xfrm>
              <a:prstGeom prst="rect">
                <a:avLst/>
              </a:prstGeom>
              <a:solidFill>
                <a:srgbClr val="FF0000"/>
              </a:solidFill>
              <a:ln w="9525">
                <a:solidFill>
                  <a:srgbClr val="000000"/>
                </a:solidFill>
                <a:miter lim="800000"/>
                <a:headEnd/>
                <a:tailEnd/>
              </a:ln>
            </xdr:spPr>
          </xdr:sp>
          <xdr:sp macro="" textlink="">
            <xdr:nvSpPr>
              <xdr:cNvPr id="152" name="Rectangle 102">
                <a:extLst>
                  <a:ext uri="{FF2B5EF4-FFF2-40B4-BE49-F238E27FC236}">
                    <a16:creationId xmlns:a16="http://schemas.microsoft.com/office/drawing/2014/main" id="{00000000-0008-0000-0000-000098000000}"/>
                  </a:ext>
                </a:extLst>
              </xdr:cNvPr>
              <xdr:cNvSpPr>
                <a:spLocks noChangeArrowheads="1"/>
              </xdr:cNvSpPr>
            </xdr:nvSpPr>
            <xdr:spPr bwMode="auto">
              <a:xfrm>
                <a:off x="213" y="264"/>
                <a:ext cx="6" cy="5"/>
              </a:xfrm>
              <a:prstGeom prst="rect">
                <a:avLst/>
              </a:prstGeom>
              <a:solidFill>
                <a:srgbClr val="FF0000"/>
              </a:solidFill>
              <a:ln w="9525">
                <a:solidFill>
                  <a:srgbClr val="000000"/>
                </a:solidFill>
                <a:miter lim="800000"/>
                <a:headEnd/>
                <a:tailEnd/>
              </a:ln>
            </xdr:spPr>
          </xdr:sp>
          <xdr:sp macro="" textlink="">
            <xdr:nvSpPr>
              <xdr:cNvPr id="153" name="Rectangle 103">
                <a:extLst>
                  <a:ext uri="{FF2B5EF4-FFF2-40B4-BE49-F238E27FC236}">
                    <a16:creationId xmlns:a16="http://schemas.microsoft.com/office/drawing/2014/main" id="{00000000-0008-0000-0000-000099000000}"/>
                  </a:ext>
                </a:extLst>
              </xdr:cNvPr>
              <xdr:cNvSpPr>
                <a:spLocks noChangeArrowheads="1"/>
              </xdr:cNvSpPr>
            </xdr:nvSpPr>
            <xdr:spPr bwMode="auto">
              <a:xfrm>
                <a:off x="199" y="277"/>
                <a:ext cx="47" cy="15"/>
              </a:xfrm>
              <a:prstGeom prst="rect">
                <a:avLst/>
              </a:prstGeom>
              <a:solidFill>
                <a:srgbClr val="FF0000"/>
              </a:solidFill>
              <a:ln w="9525">
                <a:solidFill>
                  <a:srgbClr val="000000"/>
                </a:solidFill>
                <a:miter lim="800000"/>
                <a:headEnd/>
                <a:tailEnd/>
              </a:ln>
            </xdr:spPr>
          </xdr:sp>
        </xdr:grpSp>
        <xdr:sp macro="" textlink="">
          <xdr:nvSpPr>
            <xdr:cNvPr id="69" name="AutoShape 104">
              <a:extLst>
                <a:ext uri="{FF2B5EF4-FFF2-40B4-BE49-F238E27FC236}">
                  <a16:creationId xmlns:a16="http://schemas.microsoft.com/office/drawing/2014/main" id="{00000000-0008-0000-0000-000045000000}"/>
                </a:ext>
              </a:extLst>
            </xdr:cNvPr>
            <xdr:cNvSpPr>
              <a:spLocks noChangeArrowheads="1"/>
            </xdr:cNvSpPr>
          </xdr:nvSpPr>
          <xdr:spPr bwMode="auto">
            <a:xfrm rot="10800000">
              <a:off x="285" y="183"/>
              <a:ext cx="45" cy="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00 w 21600"/>
                <a:gd name="T13" fmla="*/ 3600 h 21600"/>
                <a:gd name="T14" fmla="*/ 19200 w 21600"/>
                <a:gd name="T15" fmla="*/ 180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70" name="Rectangle 105">
              <a:extLst>
                <a:ext uri="{FF2B5EF4-FFF2-40B4-BE49-F238E27FC236}">
                  <a16:creationId xmlns:a16="http://schemas.microsoft.com/office/drawing/2014/main" id="{00000000-0008-0000-0000-000046000000}"/>
                </a:ext>
              </a:extLst>
            </xdr:cNvPr>
            <xdr:cNvSpPr>
              <a:spLocks noChangeArrowheads="1"/>
            </xdr:cNvSpPr>
          </xdr:nvSpPr>
          <xdr:spPr bwMode="auto">
            <a:xfrm>
              <a:off x="284" y="189"/>
              <a:ext cx="48" cy="8"/>
            </a:xfrm>
            <a:prstGeom prst="rect">
              <a:avLst/>
            </a:prstGeom>
            <a:solidFill>
              <a:srgbClr val="FF0000"/>
            </a:solidFill>
            <a:ln w="9525">
              <a:solidFill>
                <a:srgbClr val="000000"/>
              </a:solidFill>
              <a:miter lim="800000"/>
              <a:headEnd/>
              <a:tailEnd/>
            </a:ln>
          </xdr:spPr>
        </xdr:sp>
        <xdr:sp macro="" textlink="">
          <xdr:nvSpPr>
            <xdr:cNvPr id="71" name="Rectangle 106">
              <a:extLst>
                <a:ext uri="{FF2B5EF4-FFF2-40B4-BE49-F238E27FC236}">
                  <a16:creationId xmlns:a16="http://schemas.microsoft.com/office/drawing/2014/main" id="{00000000-0008-0000-0000-000047000000}"/>
                </a:ext>
              </a:extLst>
            </xdr:cNvPr>
            <xdr:cNvSpPr>
              <a:spLocks noChangeArrowheads="1"/>
            </xdr:cNvSpPr>
          </xdr:nvSpPr>
          <xdr:spPr bwMode="auto">
            <a:xfrm>
              <a:off x="284" y="197"/>
              <a:ext cx="48" cy="100"/>
            </a:xfrm>
            <a:prstGeom prst="rect">
              <a:avLst/>
            </a:prstGeom>
            <a:solidFill>
              <a:srgbClr val="FF0000"/>
            </a:solidFill>
            <a:ln w="9525">
              <a:solidFill>
                <a:srgbClr val="000000"/>
              </a:solidFill>
              <a:miter lim="800000"/>
              <a:headEnd/>
              <a:tailEnd/>
            </a:ln>
          </xdr:spPr>
        </xdr:sp>
        <xdr:sp macro="" textlink="">
          <xdr:nvSpPr>
            <xdr:cNvPr id="72" name="Rectangle 107">
              <a:extLst>
                <a:ext uri="{FF2B5EF4-FFF2-40B4-BE49-F238E27FC236}">
                  <a16:creationId xmlns:a16="http://schemas.microsoft.com/office/drawing/2014/main" id="{00000000-0008-0000-0000-000048000000}"/>
                </a:ext>
              </a:extLst>
            </xdr:cNvPr>
            <xdr:cNvSpPr>
              <a:spLocks noChangeArrowheads="1"/>
            </xdr:cNvSpPr>
          </xdr:nvSpPr>
          <xdr:spPr bwMode="auto">
            <a:xfrm>
              <a:off x="284" y="297"/>
              <a:ext cx="48" cy="8"/>
            </a:xfrm>
            <a:prstGeom prst="rect">
              <a:avLst/>
            </a:prstGeom>
            <a:solidFill>
              <a:srgbClr val="FF0000"/>
            </a:solidFill>
            <a:ln w="9525">
              <a:solidFill>
                <a:srgbClr val="000000"/>
              </a:solidFill>
              <a:miter lim="800000"/>
              <a:headEnd/>
              <a:tailEnd/>
            </a:ln>
          </xdr:spPr>
        </xdr:sp>
        <xdr:sp macro="" textlink="">
          <xdr:nvSpPr>
            <xdr:cNvPr id="73" name="Rectangle 108">
              <a:extLst>
                <a:ext uri="{FF2B5EF4-FFF2-40B4-BE49-F238E27FC236}">
                  <a16:creationId xmlns:a16="http://schemas.microsoft.com/office/drawing/2014/main" id="{00000000-0008-0000-0000-000049000000}"/>
                </a:ext>
              </a:extLst>
            </xdr:cNvPr>
            <xdr:cNvSpPr>
              <a:spLocks noChangeArrowheads="1"/>
            </xdr:cNvSpPr>
          </xdr:nvSpPr>
          <xdr:spPr bwMode="auto">
            <a:xfrm>
              <a:off x="292" y="305"/>
              <a:ext cx="32" cy="30"/>
            </a:xfrm>
            <a:prstGeom prst="rect">
              <a:avLst/>
            </a:prstGeom>
            <a:solidFill>
              <a:srgbClr val="FF0000"/>
            </a:solidFill>
            <a:ln w="9525">
              <a:solidFill>
                <a:srgbClr val="000000"/>
              </a:solidFill>
              <a:miter lim="800000"/>
              <a:headEnd/>
              <a:tailEnd/>
            </a:ln>
          </xdr:spPr>
        </xdr:sp>
        <xdr:sp macro="" textlink="">
          <xdr:nvSpPr>
            <xdr:cNvPr id="74" name="Rectangle 109">
              <a:extLst>
                <a:ext uri="{FF2B5EF4-FFF2-40B4-BE49-F238E27FC236}">
                  <a16:creationId xmlns:a16="http://schemas.microsoft.com/office/drawing/2014/main" id="{00000000-0008-0000-0000-00004A000000}"/>
                </a:ext>
              </a:extLst>
            </xdr:cNvPr>
            <xdr:cNvSpPr>
              <a:spLocks noChangeArrowheads="1"/>
            </xdr:cNvSpPr>
          </xdr:nvSpPr>
          <xdr:spPr bwMode="auto">
            <a:xfrm>
              <a:off x="287" y="330"/>
              <a:ext cx="6" cy="8"/>
            </a:xfrm>
            <a:prstGeom prst="rect">
              <a:avLst/>
            </a:prstGeom>
            <a:solidFill>
              <a:srgbClr val="FF0000"/>
            </a:solidFill>
            <a:ln w="9525">
              <a:solidFill>
                <a:srgbClr val="000000"/>
              </a:solidFill>
              <a:miter lim="800000"/>
              <a:headEnd/>
              <a:tailEnd/>
            </a:ln>
          </xdr:spPr>
        </xdr:sp>
        <xdr:sp macro="" textlink="">
          <xdr:nvSpPr>
            <xdr:cNvPr id="75" name="Rectangle 110">
              <a:extLst>
                <a:ext uri="{FF2B5EF4-FFF2-40B4-BE49-F238E27FC236}">
                  <a16:creationId xmlns:a16="http://schemas.microsoft.com/office/drawing/2014/main" id="{00000000-0008-0000-0000-00004B000000}"/>
                </a:ext>
              </a:extLst>
            </xdr:cNvPr>
            <xdr:cNvSpPr>
              <a:spLocks noChangeArrowheads="1"/>
            </xdr:cNvSpPr>
          </xdr:nvSpPr>
          <xdr:spPr bwMode="auto">
            <a:xfrm>
              <a:off x="284" y="335"/>
              <a:ext cx="48" cy="8"/>
            </a:xfrm>
            <a:prstGeom prst="rect">
              <a:avLst/>
            </a:prstGeom>
            <a:solidFill>
              <a:srgbClr val="FF0000"/>
            </a:solidFill>
            <a:ln w="9525">
              <a:solidFill>
                <a:srgbClr val="000000"/>
              </a:solidFill>
              <a:miter lim="800000"/>
              <a:headEnd/>
              <a:tailEnd/>
            </a:ln>
          </xdr:spPr>
        </xdr:sp>
        <xdr:sp macro="" textlink="">
          <xdr:nvSpPr>
            <xdr:cNvPr id="76" name="Rectangle 111">
              <a:extLst>
                <a:ext uri="{FF2B5EF4-FFF2-40B4-BE49-F238E27FC236}">
                  <a16:creationId xmlns:a16="http://schemas.microsoft.com/office/drawing/2014/main" id="{00000000-0008-0000-0000-00004C000000}"/>
                </a:ext>
              </a:extLst>
            </xdr:cNvPr>
            <xdr:cNvSpPr>
              <a:spLocks noChangeArrowheads="1"/>
            </xdr:cNvSpPr>
          </xdr:nvSpPr>
          <xdr:spPr bwMode="auto">
            <a:xfrm>
              <a:off x="324" y="330"/>
              <a:ext cx="6" cy="5"/>
            </a:xfrm>
            <a:prstGeom prst="rect">
              <a:avLst/>
            </a:prstGeom>
            <a:solidFill>
              <a:srgbClr val="FF0000"/>
            </a:solidFill>
            <a:ln w="9525">
              <a:solidFill>
                <a:srgbClr val="000000"/>
              </a:solidFill>
              <a:miter lim="800000"/>
              <a:headEnd/>
              <a:tailEnd/>
            </a:ln>
          </xdr:spPr>
        </xdr:sp>
        <xdr:sp macro="" textlink="">
          <xdr:nvSpPr>
            <xdr:cNvPr id="77" name="Rectangle 112">
              <a:extLst>
                <a:ext uri="{FF2B5EF4-FFF2-40B4-BE49-F238E27FC236}">
                  <a16:creationId xmlns:a16="http://schemas.microsoft.com/office/drawing/2014/main" id="{00000000-0008-0000-0000-00004D000000}"/>
                </a:ext>
              </a:extLst>
            </xdr:cNvPr>
            <xdr:cNvSpPr>
              <a:spLocks noChangeArrowheads="1"/>
            </xdr:cNvSpPr>
          </xdr:nvSpPr>
          <xdr:spPr bwMode="auto">
            <a:xfrm>
              <a:off x="311" y="330"/>
              <a:ext cx="6" cy="5"/>
            </a:xfrm>
            <a:prstGeom prst="rect">
              <a:avLst/>
            </a:prstGeom>
            <a:solidFill>
              <a:srgbClr val="FF0000"/>
            </a:solidFill>
            <a:ln w="9525">
              <a:solidFill>
                <a:srgbClr val="000000"/>
              </a:solidFill>
              <a:miter lim="800000"/>
              <a:headEnd/>
              <a:tailEnd/>
            </a:ln>
          </xdr:spPr>
        </xdr:sp>
        <xdr:sp macro="" textlink="">
          <xdr:nvSpPr>
            <xdr:cNvPr id="78" name="Rectangle 113">
              <a:extLst>
                <a:ext uri="{FF2B5EF4-FFF2-40B4-BE49-F238E27FC236}">
                  <a16:creationId xmlns:a16="http://schemas.microsoft.com/office/drawing/2014/main" id="{00000000-0008-0000-0000-00004E000000}"/>
                </a:ext>
              </a:extLst>
            </xdr:cNvPr>
            <xdr:cNvSpPr>
              <a:spLocks noChangeArrowheads="1"/>
            </xdr:cNvSpPr>
          </xdr:nvSpPr>
          <xdr:spPr bwMode="auto">
            <a:xfrm>
              <a:off x="298" y="330"/>
              <a:ext cx="6" cy="5"/>
            </a:xfrm>
            <a:prstGeom prst="rect">
              <a:avLst/>
            </a:prstGeom>
            <a:solidFill>
              <a:srgbClr val="FF0000"/>
            </a:solidFill>
            <a:ln w="9525">
              <a:solidFill>
                <a:srgbClr val="000000"/>
              </a:solidFill>
              <a:miter lim="800000"/>
              <a:headEnd/>
              <a:tailEnd/>
            </a:ln>
          </xdr:spPr>
        </xdr:sp>
        <xdr:sp macro="" textlink="">
          <xdr:nvSpPr>
            <xdr:cNvPr id="79" name="Rectangle 114">
              <a:extLst>
                <a:ext uri="{FF2B5EF4-FFF2-40B4-BE49-F238E27FC236}">
                  <a16:creationId xmlns:a16="http://schemas.microsoft.com/office/drawing/2014/main" id="{00000000-0008-0000-0000-00004F000000}"/>
                </a:ext>
              </a:extLst>
            </xdr:cNvPr>
            <xdr:cNvSpPr>
              <a:spLocks noChangeArrowheads="1"/>
            </xdr:cNvSpPr>
          </xdr:nvSpPr>
          <xdr:spPr bwMode="auto">
            <a:xfrm>
              <a:off x="284" y="343"/>
              <a:ext cx="48" cy="37"/>
            </a:xfrm>
            <a:prstGeom prst="rect">
              <a:avLst/>
            </a:prstGeom>
            <a:solidFill>
              <a:srgbClr val="FF0000"/>
            </a:solidFill>
            <a:ln w="9525">
              <a:solidFill>
                <a:srgbClr val="000000"/>
              </a:solidFill>
              <a:miter lim="800000"/>
              <a:headEnd/>
              <a:tailEnd/>
            </a:ln>
          </xdr:spPr>
        </xdr:sp>
        <xdr:grpSp>
          <xdr:nvGrpSpPr>
            <xdr:cNvPr id="80" name="Group 115">
              <a:extLst>
                <a:ext uri="{FF2B5EF4-FFF2-40B4-BE49-F238E27FC236}">
                  <a16:creationId xmlns:a16="http://schemas.microsoft.com/office/drawing/2014/main" id="{00000000-0008-0000-0000-000050000000}"/>
                </a:ext>
              </a:extLst>
            </xdr:cNvPr>
            <xdr:cNvGrpSpPr>
              <a:grpSpLocks/>
            </xdr:cNvGrpSpPr>
          </xdr:nvGrpSpPr>
          <xdr:grpSpPr bwMode="auto">
            <a:xfrm>
              <a:off x="284" y="380"/>
              <a:ext cx="48" cy="75"/>
              <a:chOff x="360" y="361"/>
              <a:chExt cx="53" cy="75"/>
            </a:xfrm>
          </xdr:grpSpPr>
          <xdr:sp macro="" textlink="">
            <xdr:nvSpPr>
              <xdr:cNvPr id="107" name="Rectangle 116">
                <a:extLst>
                  <a:ext uri="{FF2B5EF4-FFF2-40B4-BE49-F238E27FC236}">
                    <a16:creationId xmlns:a16="http://schemas.microsoft.com/office/drawing/2014/main" id="{00000000-0008-0000-0000-00006B000000}"/>
                  </a:ext>
                </a:extLst>
              </xdr:cNvPr>
              <xdr:cNvSpPr>
                <a:spLocks noChangeArrowheads="1"/>
              </xdr:cNvSpPr>
            </xdr:nvSpPr>
            <xdr:spPr bwMode="auto">
              <a:xfrm>
                <a:off x="360" y="361"/>
                <a:ext cx="53" cy="75"/>
              </a:xfrm>
              <a:prstGeom prst="rect">
                <a:avLst/>
              </a:prstGeom>
              <a:solidFill>
                <a:srgbClr val="FF0000"/>
              </a:solidFill>
              <a:ln w="9525">
                <a:solidFill>
                  <a:srgbClr val="000000"/>
                </a:solidFill>
                <a:miter lim="800000"/>
                <a:headEnd/>
                <a:tailEnd/>
              </a:ln>
            </xdr:spPr>
          </xdr:sp>
          <xdr:grpSp>
            <xdr:nvGrpSpPr>
              <xdr:cNvPr id="108" name="Group 117">
                <a:extLst>
                  <a:ext uri="{FF2B5EF4-FFF2-40B4-BE49-F238E27FC236}">
                    <a16:creationId xmlns:a16="http://schemas.microsoft.com/office/drawing/2014/main" id="{00000000-0008-0000-0000-00006C000000}"/>
                  </a:ext>
                </a:extLst>
              </xdr:cNvPr>
              <xdr:cNvGrpSpPr>
                <a:grpSpLocks/>
              </xdr:cNvGrpSpPr>
            </xdr:nvGrpSpPr>
            <xdr:grpSpPr bwMode="auto">
              <a:xfrm>
                <a:off x="361" y="366"/>
                <a:ext cx="51" cy="14"/>
                <a:chOff x="361" y="366"/>
                <a:chExt cx="51" cy="14"/>
              </a:xfrm>
            </xdr:grpSpPr>
            <xdr:sp macro="" textlink="">
              <xdr:nvSpPr>
                <xdr:cNvPr id="139" name="AutoShape 118">
                  <a:extLst>
                    <a:ext uri="{FF2B5EF4-FFF2-40B4-BE49-F238E27FC236}">
                      <a16:creationId xmlns:a16="http://schemas.microsoft.com/office/drawing/2014/main" id="{00000000-0008-0000-0000-00008B000000}"/>
                    </a:ext>
                  </a:extLst>
                </xdr:cNvPr>
                <xdr:cNvSpPr>
                  <a:spLocks noChangeArrowheads="1"/>
                </xdr:cNvSpPr>
              </xdr:nvSpPr>
              <xdr:spPr bwMode="auto">
                <a:xfrm>
                  <a:off x="361" y="366"/>
                  <a:ext cx="3" cy="14"/>
                </a:xfrm>
                <a:prstGeom prst="flowChartTerminator">
                  <a:avLst/>
                </a:prstGeom>
                <a:solidFill>
                  <a:srgbClr val="FF0000"/>
                </a:solidFill>
                <a:ln w="9525">
                  <a:solidFill>
                    <a:srgbClr val="000000"/>
                  </a:solidFill>
                  <a:miter lim="800000"/>
                  <a:headEnd/>
                  <a:tailEnd/>
                </a:ln>
              </xdr:spPr>
            </xdr:sp>
            <xdr:sp macro="" textlink="">
              <xdr:nvSpPr>
                <xdr:cNvPr id="140" name="AutoShape 119">
                  <a:extLst>
                    <a:ext uri="{FF2B5EF4-FFF2-40B4-BE49-F238E27FC236}">
                      <a16:creationId xmlns:a16="http://schemas.microsoft.com/office/drawing/2014/main" id="{00000000-0008-0000-0000-00008C000000}"/>
                    </a:ext>
                  </a:extLst>
                </xdr:cNvPr>
                <xdr:cNvSpPr>
                  <a:spLocks noChangeArrowheads="1"/>
                </xdr:cNvSpPr>
              </xdr:nvSpPr>
              <xdr:spPr bwMode="auto">
                <a:xfrm>
                  <a:off x="367" y="366"/>
                  <a:ext cx="3" cy="14"/>
                </a:xfrm>
                <a:prstGeom prst="flowChartTerminator">
                  <a:avLst/>
                </a:prstGeom>
                <a:solidFill>
                  <a:srgbClr val="FF0000"/>
                </a:solidFill>
                <a:ln w="9525">
                  <a:solidFill>
                    <a:srgbClr val="000000"/>
                  </a:solidFill>
                  <a:miter lim="800000"/>
                  <a:headEnd/>
                  <a:tailEnd/>
                </a:ln>
              </xdr:spPr>
            </xdr:sp>
            <xdr:sp macro="" textlink="">
              <xdr:nvSpPr>
                <xdr:cNvPr id="141" name="AutoShape 120">
                  <a:extLst>
                    <a:ext uri="{FF2B5EF4-FFF2-40B4-BE49-F238E27FC236}">
                      <a16:creationId xmlns:a16="http://schemas.microsoft.com/office/drawing/2014/main" id="{00000000-0008-0000-0000-00008D000000}"/>
                    </a:ext>
                  </a:extLst>
                </xdr:cNvPr>
                <xdr:cNvSpPr>
                  <a:spLocks noChangeArrowheads="1"/>
                </xdr:cNvSpPr>
              </xdr:nvSpPr>
              <xdr:spPr bwMode="auto">
                <a:xfrm>
                  <a:off x="373" y="366"/>
                  <a:ext cx="3" cy="14"/>
                </a:xfrm>
                <a:prstGeom prst="flowChartTerminator">
                  <a:avLst/>
                </a:prstGeom>
                <a:solidFill>
                  <a:srgbClr val="FF0000"/>
                </a:solidFill>
                <a:ln w="9525">
                  <a:solidFill>
                    <a:srgbClr val="000000"/>
                  </a:solidFill>
                  <a:miter lim="800000"/>
                  <a:headEnd/>
                  <a:tailEnd/>
                </a:ln>
              </xdr:spPr>
            </xdr:sp>
            <xdr:sp macro="" textlink="">
              <xdr:nvSpPr>
                <xdr:cNvPr id="142" name="AutoShape 121">
                  <a:extLst>
                    <a:ext uri="{FF2B5EF4-FFF2-40B4-BE49-F238E27FC236}">
                      <a16:creationId xmlns:a16="http://schemas.microsoft.com/office/drawing/2014/main" id="{00000000-0008-0000-0000-00008E000000}"/>
                    </a:ext>
                  </a:extLst>
                </xdr:cNvPr>
                <xdr:cNvSpPr>
                  <a:spLocks noChangeArrowheads="1"/>
                </xdr:cNvSpPr>
              </xdr:nvSpPr>
              <xdr:spPr bwMode="auto">
                <a:xfrm>
                  <a:off x="379" y="366"/>
                  <a:ext cx="3" cy="14"/>
                </a:xfrm>
                <a:prstGeom prst="flowChartTerminator">
                  <a:avLst/>
                </a:prstGeom>
                <a:solidFill>
                  <a:srgbClr val="FF0000"/>
                </a:solidFill>
                <a:ln w="9525">
                  <a:solidFill>
                    <a:srgbClr val="000000"/>
                  </a:solidFill>
                  <a:miter lim="800000"/>
                  <a:headEnd/>
                  <a:tailEnd/>
                </a:ln>
              </xdr:spPr>
            </xdr:sp>
            <xdr:sp macro="" textlink="">
              <xdr:nvSpPr>
                <xdr:cNvPr id="143" name="AutoShape 122">
                  <a:extLst>
                    <a:ext uri="{FF2B5EF4-FFF2-40B4-BE49-F238E27FC236}">
                      <a16:creationId xmlns:a16="http://schemas.microsoft.com/office/drawing/2014/main" id="{00000000-0008-0000-0000-00008F000000}"/>
                    </a:ext>
                  </a:extLst>
                </xdr:cNvPr>
                <xdr:cNvSpPr>
                  <a:spLocks noChangeArrowheads="1"/>
                </xdr:cNvSpPr>
              </xdr:nvSpPr>
              <xdr:spPr bwMode="auto">
                <a:xfrm>
                  <a:off x="385" y="366"/>
                  <a:ext cx="3" cy="14"/>
                </a:xfrm>
                <a:prstGeom prst="flowChartTerminator">
                  <a:avLst/>
                </a:prstGeom>
                <a:solidFill>
                  <a:srgbClr val="FF0000"/>
                </a:solidFill>
                <a:ln w="9525">
                  <a:solidFill>
                    <a:srgbClr val="000000"/>
                  </a:solidFill>
                  <a:miter lim="800000"/>
                  <a:headEnd/>
                  <a:tailEnd/>
                </a:ln>
              </xdr:spPr>
            </xdr:sp>
            <xdr:sp macro="" textlink="">
              <xdr:nvSpPr>
                <xdr:cNvPr id="144" name="AutoShape 123">
                  <a:extLst>
                    <a:ext uri="{FF2B5EF4-FFF2-40B4-BE49-F238E27FC236}">
                      <a16:creationId xmlns:a16="http://schemas.microsoft.com/office/drawing/2014/main" id="{00000000-0008-0000-0000-000090000000}"/>
                    </a:ext>
                  </a:extLst>
                </xdr:cNvPr>
                <xdr:cNvSpPr>
                  <a:spLocks noChangeArrowheads="1"/>
                </xdr:cNvSpPr>
              </xdr:nvSpPr>
              <xdr:spPr bwMode="auto">
                <a:xfrm>
                  <a:off x="391" y="366"/>
                  <a:ext cx="3" cy="14"/>
                </a:xfrm>
                <a:prstGeom prst="flowChartTerminator">
                  <a:avLst/>
                </a:prstGeom>
                <a:solidFill>
                  <a:srgbClr val="FF0000"/>
                </a:solidFill>
                <a:ln w="9525">
                  <a:solidFill>
                    <a:srgbClr val="000000"/>
                  </a:solidFill>
                  <a:miter lim="800000"/>
                  <a:headEnd/>
                  <a:tailEnd/>
                </a:ln>
              </xdr:spPr>
            </xdr:sp>
            <xdr:sp macro="" textlink="">
              <xdr:nvSpPr>
                <xdr:cNvPr id="145" name="AutoShape 124">
                  <a:extLst>
                    <a:ext uri="{FF2B5EF4-FFF2-40B4-BE49-F238E27FC236}">
                      <a16:creationId xmlns:a16="http://schemas.microsoft.com/office/drawing/2014/main" id="{00000000-0008-0000-0000-000091000000}"/>
                    </a:ext>
                  </a:extLst>
                </xdr:cNvPr>
                <xdr:cNvSpPr>
                  <a:spLocks noChangeArrowheads="1"/>
                </xdr:cNvSpPr>
              </xdr:nvSpPr>
              <xdr:spPr bwMode="auto">
                <a:xfrm>
                  <a:off x="397" y="366"/>
                  <a:ext cx="3" cy="14"/>
                </a:xfrm>
                <a:prstGeom prst="flowChartTerminator">
                  <a:avLst/>
                </a:prstGeom>
                <a:solidFill>
                  <a:srgbClr val="FF0000"/>
                </a:solidFill>
                <a:ln w="9525">
                  <a:solidFill>
                    <a:srgbClr val="000000"/>
                  </a:solidFill>
                  <a:miter lim="800000"/>
                  <a:headEnd/>
                  <a:tailEnd/>
                </a:ln>
              </xdr:spPr>
            </xdr:sp>
            <xdr:sp macro="" textlink="">
              <xdr:nvSpPr>
                <xdr:cNvPr id="146" name="AutoShape 125">
                  <a:extLst>
                    <a:ext uri="{FF2B5EF4-FFF2-40B4-BE49-F238E27FC236}">
                      <a16:creationId xmlns:a16="http://schemas.microsoft.com/office/drawing/2014/main" id="{00000000-0008-0000-0000-000092000000}"/>
                    </a:ext>
                  </a:extLst>
                </xdr:cNvPr>
                <xdr:cNvSpPr>
                  <a:spLocks noChangeArrowheads="1"/>
                </xdr:cNvSpPr>
              </xdr:nvSpPr>
              <xdr:spPr bwMode="auto">
                <a:xfrm>
                  <a:off x="403" y="366"/>
                  <a:ext cx="3" cy="14"/>
                </a:xfrm>
                <a:prstGeom prst="flowChartTerminator">
                  <a:avLst/>
                </a:prstGeom>
                <a:solidFill>
                  <a:srgbClr val="FF0000"/>
                </a:solidFill>
                <a:ln w="9525">
                  <a:solidFill>
                    <a:srgbClr val="000000"/>
                  </a:solidFill>
                  <a:miter lim="800000"/>
                  <a:headEnd/>
                  <a:tailEnd/>
                </a:ln>
              </xdr:spPr>
            </xdr:sp>
            <xdr:sp macro="" textlink="">
              <xdr:nvSpPr>
                <xdr:cNvPr id="147" name="AutoShape 126">
                  <a:extLst>
                    <a:ext uri="{FF2B5EF4-FFF2-40B4-BE49-F238E27FC236}">
                      <a16:creationId xmlns:a16="http://schemas.microsoft.com/office/drawing/2014/main" id="{00000000-0008-0000-0000-000093000000}"/>
                    </a:ext>
                  </a:extLst>
                </xdr:cNvPr>
                <xdr:cNvSpPr>
                  <a:spLocks noChangeArrowheads="1"/>
                </xdr:cNvSpPr>
              </xdr:nvSpPr>
              <xdr:spPr bwMode="auto">
                <a:xfrm>
                  <a:off x="409" y="366"/>
                  <a:ext cx="3" cy="14"/>
                </a:xfrm>
                <a:prstGeom prst="flowChartTerminator">
                  <a:avLst/>
                </a:prstGeom>
                <a:solidFill>
                  <a:srgbClr val="FF0000"/>
                </a:solidFill>
                <a:ln w="9525">
                  <a:solidFill>
                    <a:srgbClr val="000000"/>
                  </a:solidFill>
                  <a:miter lim="800000"/>
                  <a:headEnd/>
                  <a:tailEnd/>
                </a:ln>
              </xdr:spPr>
            </xdr:sp>
          </xdr:grpSp>
          <xdr:grpSp>
            <xdr:nvGrpSpPr>
              <xdr:cNvPr id="109" name="Group 127">
                <a:extLst>
                  <a:ext uri="{FF2B5EF4-FFF2-40B4-BE49-F238E27FC236}">
                    <a16:creationId xmlns:a16="http://schemas.microsoft.com/office/drawing/2014/main" id="{00000000-0008-0000-0000-00006D000000}"/>
                  </a:ext>
                </a:extLst>
              </xdr:cNvPr>
              <xdr:cNvGrpSpPr>
                <a:grpSpLocks/>
              </xdr:cNvGrpSpPr>
            </xdr:nvGrpSpPr>
            <xdr:grpSpPr bwMode="auto">
              <a:xfrm>
                <a:off x="361" y="383"/>
                <a:ext cx="51" cy="14"/>
                <a:chOff x="361" y="366"/>
                <a:chExt cx="51" cy="14"/>
              </a:xfrm>
            </xdr:grpSpPr>
            <xdr:sp macro="" textlink="">
              <xdr:nvSpPr>
                <xdr:cNvPr id="130" name="AutoShape 128">
                  <a:extLst>
                    <a:ext uri="{FF2B5EF4-FFF2-40B4-BE49-F238E27FC236}">
                      <a16:creationId xmlns:a16="http://schemas.microsoft.com/office/drawing/2014/main" id="{00000000-0008-0000-0000-000082000000}"/>
                    </a:ext>
                  </a:extLst>
                </xdr:cNvPr>
                <xdr:cNvSpPr>
                  <a:spLocks noChangeArrowheads="1"/>
                </xdr:cNvSpPr>
              </xdr:nvSpPr>
              <xdr:spPr bwMode="auto">
                <a:xfrm>
                  <a:off x="361" y="366"/>
                  <a:ext cx="3" cy="14"/>
                </a:xfrm>
                <a:prstGeom prst="flowChartTerminator">
                  <a:avLst/>
                </a:prstGeom>
                <a:solidFill>
                  <a:srgbClr val="FF0000"/>
                </a:solidFill>
                <a:ln w="9525">
                  <a:solidFill>
                    <a:srgbClr val="000000"/>
                  </a:solidFill>
                  <a:miter lim="800000"/>
                  <a:headEnd/>
                  <a:tailEnd/>
                </a:ln>
              </xdr:spPr>
            </xdr:sp>
            <xdr:sp macro="" textlink="">
              <xdr:nvSpPr>
                <xdr:cNvPr id="131" name="AutoShape 129">
                  <a:extLst>
                    <a:ext uri="{FF2B5EF4-FFF2-40B4-BE49-F238E27FC236}">
                      <a16:creationId xmlns:a16="http://schemas.microsoft.com/office/drawing/2014/main" id="{00000000-0008-0000-0000-000083000000}"/>
                    </a:ext>
                  </a:extLst>
                </xdr:cNvPr>
                <xdr:cNvSpPr>
                  <a:spLocks noChangeArrowheads="1"/>
                </xdr:cNvSpPr>
              </xdr:nvSpPr>
              <xdr:spPr bwMode="auto">
                <a:xfrm>
                  <a:off x="367" y="366"/>
                  <a:ext cx="3" cy="14"/>
                </a:xfrm>
                <a:prstGeom prst="flowChartTerminator">
                  <a:avLst/>
                </a:prstGeom>
                <a:solidFill>
                  <a:srgbClr val="FF0000"/>
                </a:solidFill>
                <a:ln w="9525">
                  <a:solidFill>
                    <a:srgbClr val="000000"/>
                  </a:solidFill>
                  <a:miter lim="800000"/>
                  <a:headEnd/>
                  <a:tailEnd/>
                </a:ln>
              </xdr:spPr>
            </xdr:sp>
            <xdr:sp macro="" textlink="">
              <xdr:nvSpPr>
                <xdr:cNvPr id="132" name="AutoShape 130">
                  <a:extLst>
                    <a:ext uri="{FF2B5EF4-FFF2-40B4-BE49-F238E27FC236}">
                      <a16:creationId xmlns:a16="http://schemas.microsoft.com/office/drawing/2014/main" id="{00000000-0008-0000-0000-000084000000}"/>
                    </a:ext>
                  </a:extLst>
                </xdr:cNvPr>
                <xdr:cNvSpPr>
                  <a:spLocks noChangeArrowheads="1"/>
                </xdr:cNvSpPr>
              </xdr:nvSpPr>
              <xdr:spPr bwMode="auto">
                <a:xfrm>
                  <a:off x="373" y="366"/>
                  <a:ext cx="3" cy="14"/>
                </a:xfrm>
                <a:prstGeom prst="flowChartTerminator">
                  <a:avLst/>
                </a:prstGeom>
                <a:solidFill>
                  <a:srgbClr val="FF0000"/>
                </a:solidFill>
                <a:ln w="9525">
                  <a:solidFill>
                    <a:srgbClr val="000000"/>
                  </a:solidFill>
                  <a:miter lim="800000"/>
                  <a:headEnd/>
                  <a:tailEnd/>
                </a:ln>
              </xdr:spPr>
            </xdr:sp>
            <xdr:sp macro="" textlink="">
              <xdr:nvSpPr>
                <xdr:cNvPr id="133" name="AutoShape 131">
                  <a:extLst>
                    <a:ext uri="{FF2B5EF4-FFF2-40B4-BE49-F238E27FC236}">
                      <a16:creationId xmlns:a16="http://schemas.microsoft.com/office/drawing/2014/main" id="{00000000-0008-0000-0000-000085000000}"/>
                    </a:ext>
                  </a:extLst>
                </xdr:cNvPr>
                <xdr:cNvSpPr>
                  <a:spLocks noChangeArrowheads="1"/>
                </xdr:cNvSpPr>
              </xdr:nvSpPr>
              <xdr:spPr bwMode="auto">
                <a:xfrm>
                  <a:off x="379" y="366"/>
                  <a:ext cx="3" cy="14"/>
                </a:xfrm>
                <a:prstGeom prst="flowChartTerminator">
                  <a:avLst/>
                </a:prstGeom>
                <a:solidFill>
                  <a:srgbClr val="FF0000"/>
                </a:solidFill>
                <a:ln w="9525">
                  <a:solidFill>
                    <a:srgbClr val="000000"/>
                  </a:solidFill>
                  <a:miter lim="800000"/>
                  <a:headEnd/>
                  <a:tailEnd/>
                </a:ln>
              </xdr:spPr>
            </xdr:sp>
            <xdr:sp macro="" textlink="">
              <xdr:nvSpPr>
                <xdr:cNvPr id="134" name="AutoShape 132">
                  <a:extLst>
                    <a:ext uri="{FF2B5EF4-FFF2-40B4-BE49-F238E27FC236}">
                      <a16:creationId xmlns:a16="http://schemas.microsoft.com/office/drawing/2014/main" id="{00000000-0008-0000-0000-000086000000}"/>
                    </a:ext>
                  </a:extLst>
                </xdr:cNvPr>
                <xdr:cNvSpPr>
                  <a:spLocks noChangeArrowheads="1"/>
                </xdr:cNvSpPr>
              </xdr:nvSpPr>
              <xdr:spPr bwMode="auto">
                <a:xfrm>
                  <a:off x="385" y="366"/>
                  <a:ext cx="3" cy="14"/>
                </a:xfrm>
                <a:prstGeom prst="flowChartTerminator">
                  <a:avLst/>
                </a:prstGeom>
                <a:solidFill>
                  <a:srgbClr val="FF0000"/>
                </a:solidFill>
                <a:ln w="9525">
                  <a:solidFill>
                    <a:srgbClr val="000000"/>
                  </a:solidFill>
                  <a:miter lim="800000"/>
                  <a:headEnd/>
                  <a:tailEnd/>
                </a:ln>
              </xdr:spPr>
            </xdr:sp>
            <xdr:sp macro="" textlink="">
              <xdr:nvSpPr>
                <xdr:cNvPr id="135" name="AutoShape 133">
                  <a:extLst>
                    <a:ext uri="{FF2B5EF4-FFF2-40B4-BE49-F238E27FC236}">
                      <a16:creationId xmlns:a16="http://schemas.microsoft.com/office/drawing/2014/main" id="{00000000-0008-0000-0000-000087000000}"/>
                    </a:ext>
                  </a:extLst>
                </xdr:cNvPr>
                <xdr:cNvSpPr>
                  <a:spLocks noChangeArrowheads="1"/>
                </xdr:cNvSpPr>
              </xdr:nvSpPr>
              <xdr:spPr bwMode="auto">
                <a:xfrm>
                  <a:off x="391" y="366"/>
                  <a:ext cx="3" cy="14"/>
                </a:xfrm>
                <a:prstGeom prst="flowChartTerminator">
                  <a:avLst/>
                </a:prstGeom>
                <a:solidFill>
                  <a:srgbClr val="FF0000"/>
                </a:solidFill>
                <a:ln w="9525">
                  <a:solidFill>
                    <a:srgbClr val="000000"/>
                  </a:solidFill>
                  <a:miter lim="800000"/>
                  <a:headEnd/>
                  <a:tailEnd/>
                </a:ln>
              </xdr:spPr>
            </xdr:sp>
            <xdr:sp macro="" textlink="">
              <xdr:nvSpPr>
                <xdr:cNvPr id="136" name="AutoShape 134">
                  <a:extLst>
                    <a:ext uri="{FF2B5EF4-FFF2-40B4-BE49-F238E27FC236}">
                      <a16:creationId xmlns:a16="http://schemas.microsoft.com/office/drawing/2014/main" id="{00000000-0008-0000-0000-000088000000}"/>
                    </a:ext>
                  </a:extLst>
                </xdr:cNvPr>
                <xdr:cNvSpPr>
                  <a:spLocks noChangeArrowheads="1"/>
                </xdr:cNvSpPr>
              </xdr:nvSpPr>
              <xdr:spPr bwMode="auto">
                <a:xfrm>
                  <a:off x="397" y="366"/>
                  <a:ext cx="3" cy="14"/>
                </a:xfrm>
                <a:prstGeom prst="flowChartTerminator">
                  <a:avLst/>
                </a:prstGeom>
                <a:solidFill>
                  <a:srgbClr val="FF0000"/>
                </a:solidFill>
                <a:ln w="9525">
                  <a:solidFill>
                    <a:srgbClr val="000000"/>
                  </a:solidFill>
                  <a:miter lim="800000"/>
                  <a:headEnd/>
                  <a:tailEnd/>
                </a:ln>
              </xdr:spPr>
            </xdr:sp>
            <xdr:sp macro="" textlink="">
              <xdr:nvSpPr>
                <xdr:cNvPr id="137" name="AutoShape 135">
                  <a:extLst>
                    <a:ext uri="{FF2B5EF4-FFF2-40B4-BE49-F238E27FC236}">
                      <a16:creationId xmlns:a16="http://schemas.microsoft.com/office/drawing/2014/main" id="{00000000-0008-0000-0000-000089000000}"/>
                    </a:ext>
                  </a:extLst>
                </xdr:cNvPr>
                <xdr:cNvSpPr>
                  <a:spLocks noChangeArrowheads="1"/>
                </xdr:cNvSpPr>
              </xdr:nvSpPr>
              <xdr:spPr bwMode="auto">
                <a:xfrm>
                  <a:off x="403" y="366"/>
                  <a:ext cx="3" cy="14"/>
                </a:xfrm>
                <a:prstGeom prst="flowChartTerminator">
                  <a:avLst/>
                </a:prstGeom>
                <a:solidFill>
                  <a:srgbClr val="FF0000"/>
                </a:solidFill>
                <a:ln w="9525">
                  <a:solidFill>
                    <a:srgbClr val="000000"/>
                  </a:solidFill>
                  <a:miter lim="800000"/>
                  <a:headEnd/>
                  <a:tailEnd/>
                </a:ln>
              </xdr:spPr>
            </xdr:sp>
            <xdr:sp macro="" textlink="">
              <xdr:nvSpPr>
                <xdr:cNvPr id="138" name="AutoShape 136">
                  <a:extLst>
                    <a:ext uri="{FF2B5EF4-FFF2-40B4-BE49-F238E27FC236}">
                      <a16:creationId xmlns:a16="http://schemas.microsoft.com/office/drawing/2014/main" id="{00000000-0008-0000-0000-00008A000000}"/>
                    </a:ext>
                  </a:extLst>
                </xdr:cNvPr>
                <xdr:cNvSpPr>
                  <a:spLocks noChangeArrowheads="1"/>
                </xdr:cNvSpPr>
              </xdr:nvSpPr>
              <xdr:spPr bwMode="auto">
                <a:xfrm>
                  <a:off x="409" y="366"/>
                  <a:ext cx="3" cy="14"/>
                </a:xfrm>
                <a:prstGeom prst="flowChartTerminator">
                  <a:avLst/>
                </a:prstGeom>
                <a:solidFill>
                  <a:srgbClr val="FF0000"/>
                </a:solidFill>
                <a:ln w="9525">
                  <a:solidFill>
                    <a:srgbClr val="000000"/>
                  </a:solidFill>
                  <a:miter lim="800000"/>
                  <a:headEnd/>
                  <a:tailEnd/>
                </a:ln>
              </xdr:spPr>
            </xdr:sp>
          </xdr:grpSp>
          <xdr:grpSp>
            <xdr:nvGrpSpPr>
              <xdr:cNvPr id="110" name="Group 137">
                <a:extLst>
                  <a:ext uri="{FF2B5EF4-FFF2-40B4-BE49-F238E27FC236}">
                    <a16:creationId xmlns:a16="http://schemas.microsoft.com/office/drawing/2014/main" id="{00000000-0008-0000-0000-00006E000000}"/>
                  </a:ext>
                </a:extLst>
              </xdr:cNvPr>
              <xdr:cNvGrpSpPr>
                <a:grpSpLocks/>
              </xdr:cNvGrpSpPr>
            </xdr:nvGrpSpPr>
            <xdr:grpSpPr bwMode="auto">
              <a:xfrm>
                <a:off x="361" y="400"/>
                <a:ext cx="51" cy="14"/>
                <a:chOff x="361" y="366"/>
                <a:chExt cx="51" cy="14"/>
              </a:xfrm>
            </xdr:grpSpPr>
            <xdr:sp macro="" textlink="">
              <xdr:nvSpPr>
                <xdr:cNvPr id="121" name="AutoShape 138">
                  <a:extLst>
                    <a:ext uri="{FF2B5EF4-FFF2-40B4-BE49-F238E27FC236}">
                      <a16:creationId xmlns:a16="http://schemas.microsoft.com/office/drawing/2014/main" id="{00000000-0008-0000-0000-000079000000}"/>
                    </a:ext>
                  </a:extLst>
                </xdr:cNvPr>
                <xdr:cNvSpPr>
                  <a:spLocks noChangeArrowheads="1"/>
                </xdr:cNvSpPr>
              </xdr:nvSpPr>
              <xdr:spPr bwMode="auto">
                <a:xfrm>
                  <a:off x="361" y="366"/>
                  <a:ext cx="3" cy="14"/>
                </a:xfrm>
                <a:prstGeom prst="flowChartTerminator">
                  <a:avLst/>
                </a:prstGeom>
                <a:solidFill>
                  <a:srgbClr val="FF0000"/>
                </a:solidFill>
                <a:ln w="9525">
                  <a:solidFill>
                    <a:srgbClr val="000000"/>
                  </a:solidFill>
                  <a:miter lim="800000"/>
                  <a:headEnd/>
                  <a:tailEnd/>
                </a:ln>
              </xdr:spPr>
            </xdr:sp>
            <xdr:sp macro="" textlink="">
              <xdr:nvSpPr>
                <xdr:cNvPr id="122" name="AutoShape 139">
                  <a:extLst>
                    <a:ext uri="{FF2B5EF4-FFF2-40B4-BE49-F238E27FC236}">
                      <a16:creationId xmlns:a16="http://schemas.microsoft.com/office/drawing/2014/main" id="{00000000-0008-0000-0000-00007A000000}"/>
                    </a:ext>
                  </a:extLst>
                </xdr:cNvPr>
                <xdr:cNvSpPr>
                  <a:spLocks noChangeArrowheads="1"/>
                </xdr:cNvSpPr>
              </xdr:nvSpPr>
              <xdr:spPr bwMode="auto">
                <a:xfrm>
                  <a:off x="367" y="366"/>
                  <a:ext cx="3" cy="14"/>
                </a:xfrm>
                <a:prstGeom prst="flowChartTerminator">
                  <a:avLst/>
                </a:prstGeom>
                <a:solidFill>
                  <a:srgbClr val="FF0000"/>
                </a:solidFill>
                <a:ln w="9525">
                  <a:solidFill>
                    <a:srgbClr val="000000"/>
                  </a:solidFill>
                  <a:miter lim="800000"/>
                  <a:headEnd/>
                  <a:tailEnd/>
                </a:ln>
              </xdr:spPr>
            </xdr:sp>
            <xdr:sp macro="" textlink="">
              <xdr:nvSpPr>
                <xdr:cNvPr id="123" name="AutoShape 140">
                  <a:extLst>
                    <a:ext uri="{FF2B5EF4-FFF2-40B4-BE49-F238E27FC236}">
                      <a16:creationId xmlns:a16="http://schemas.microsoft.com/office/drawing/2014/main" id="{00000000-0008-0000-0000-00007B000000}"/>
                    </a:ext>
                  </a:extLst>
                </xdr:cNvPr>
                <xdr:cNvSpPr>
                  <a:spLocks noChangeArrowheads="1"/>
                </xdr:cNvSpPr>
              </xdr:nvSpPr>
              <xdr:spPr bwMode="auto">
                <a:xfrm>
                  <a:off x="373" y="366"/>
                  <a:ext cx="3" cy="14"/>
                </a:xfrm>
                <a:prstGeom prst="flowChartTerminator">
                  <a:avLst/>
                </a:prstGeom>
                <a:solidFill>
                  <a:srgbClr val="FF0000"/>
                </a:solidFill>
                <a:ln w="9525">
                  <a:solidFill>
                    <a:srgbClr val="000000"/>
                  </a:solidFill>
                  <a:miter lim="800000"/>
                  <a:headEnd/>
                  <a:tailEnd/>
                </a:ln>
              </xdr:spPr>
            </xdr:sp>
            <xdr:sp macro="" textlink="">
              <xdr:nvSpPr>
                <xdr:cNvPr id="124" name="AutoShape 141">
                  <a:extLst>
                    <a:ext uri="{FF2B5EF4-FFF2-40B4-BE49-F238E27FC236}">
                      <a16:creationId xmlns:a16="http://schemas.microsoft.com/office/drawing/2014/main" id="{00000000-0008-0000-0000-00007C000000}"/>
                    </a:ext>
                  </a:extLst>
                </xdr:cNvPr>
                <xdr:cNvSpPr>
                  <a:spLocks noChangeArrowheads="1"/>
                </xdr:cNvSpPr>
              </xdr:nvSpPr>
              <xdr:spPr bwMode="auto">
                <a:xfrm>
                  <a:off x="379" y="366"/>
                  <a:ext cx="3" cy="14"/>
                </a:xfrm>
                <a:prstGeom prst="flowChartTerminator">
                  <a:avLst/>
                </a:prstGeom>
                <a:solidFill>
                  <a:srgbClr val="FF0000"/>
                </a:solidFill>
                <a:ln w="9525">
                  <a:solidFill>
                    <a:srgbClr val="000000"/>
                  </a:solidFill>
                  <a:miter lim="800000"/>
                  <a:headEnd/>
                  <a:tailEnd/>
                </a:ln>
              </xdr:spPr>
            </xdr:sp>
            <xdr:sp macro="" textlink="">
              <xdr:nvSpPr>
                <xdr:cNvPr id="125" name="AutoShape 142">
                  <a:extLst>
                    <a:ext uri="{FF2B5EF4-FFF2-40B4-BE49-F238E27FC236}">
                      <a16:creationId xmlns:a16="http://schemas.microsoft.com/office/drawing/2014/main" id="{00000000-0008-0000-0000-00007D000000}"/>
                    </a:ext>
                  </a:extLst>
                </xdr:cNvPr>
                <xdr:cNvSpPr>
                  <a:spLocks noChangeArrowheads="1"/>
                </xdr:cNvSpPr>
              </xdr:nvSpPr>
              <xdr:spPr bwMode="auto">
                <a:xfrm>
                  <a:off x="385" y="366"/>
                  <a:ext cx="3" cy="14"/>
                </a:xfrm>
                <a:prstGeom prst="flowChartTerminator">
                  <a:avLst/>
                </a:prstGeom>
                <a:solidFill>
                  <a:srgbClr val="FF0000"/>
                </a:solidFill>
                <a:ln w="9525">
                  <a:solidFill>
                    <a:srgbClr val="000000"/>
                  </a:solidFill>
                  <a:miter lim="800000"/>
                  <a:headEnd/>
                  <a:tailEnd/>
                </a:ln>
              </xdr:spPr>
            </xdr:sp>
            <xdr:sp macro="" textlink="">
              <xdr:nvSpPr>
                <xdr:cNvPr id="126" name="AutoShape 143">
                  <a:extLst>
                    <a:ext uri="{FF2B5EF4-FFF2-40B4-BE49-F238E27FC236}">
                      <a16:creationId xmlns:a16="http://schemas.microsoft.com/office/drawing/2014/main" id="{00000000-0008-0000-0000-00007E000000}"/>
                    </a:ext>
                  </a:extLst>
                </xdr:cNvPr>
                <xdr:cNvSpPr>
                  <a:spLocks noChangeArrowheads="1"/>
                </xdr:cNvSpPr>
              </xdr:nvSpPr>
              <xdr:spPr bwMode="auto">
                <a:xfrm>
                  <a:off x="391" y="366"/>
                  <a:ext cx="3" cy="14"/>
                </a:xfrm>
                <a:prstGeom prst="flowChartTerminator">
                  <a:avLst/>
                </a:prstGeom>
                <a:solidFill>
                  <a:srgbClr val="FF0000"/>
                </a:solidFill>
                <a:ln w="9525">
                  <a:solidFill>
                    <a:srgbClr val="000000"/>
                  </a:solidFill>
                  <a:miter lim="800000"/>
                  <a:headEnd/>
                  <a:tailEnd/>
                </a:ln>
              </xdr:spPr>
            </xdr:sp>
            <xdr:sp macro="" textlink="">
              <xdr:nvSpPr>
                <xdr:cNvPr id="127" name="AutoShape 144">
                  <a:extLst>
                    <a:ext uri="{FF2B5EF4-FFF2-40B4-BE49-F238E27FC236}">
                      <a16:creationId xmlns:a16="http://schemas.microsoft.com/office/drawing/2014/main" id="{00000000-0008-0000-0000-00007F000000}"/>
                    </a:ext>
                  </a:extLst>
                </xdr:cNvPr>
                <xdr:cNvSpPr>
                  <a:spLocks noChangeArrowheads="1"/>
                </xdr:cNvSpPr>
              </xdr:nvSpPr>
              <xdr:spPr bwMode="auto">
                <a:xfrm>
                  <a:off x="397" y="366"/>
                  <a:ext cx="3" cy="14"/>
                </a:xfrm>
                <a:prstGeom prst="flowChartTerminator">
                  <a:avLst/>
                </a:prstGeom>
                <a:solidFill>
                  <a:srgbClr val="FF0000"/>
                </a:solidFill>
                <a:ln w="9525">
                  <a:solidFill>
                    <a:srgbClr val="000000"/>
                  </a:solidFill>
                  <a:miter lim="800000"/>
                  <a:headEnd/>
                  <a:tailEnd/>
                </a:ln>
              </xdr:spPr>
            </xdr:sp>
            <xdr:sp macro="" textlink="">
              <xdr:nvSpPr>
                <xdr:cNvPr id="128" name="AutoShape 145">
                  <a:extLst>
                    <a:ext uri="{FF2B5EF4-FFF2-40B4-BE49-F238E27FC236}">
                      <a16:creationId xmlns:a16="http://schemas.microsoft.com/office/drawing/2014/main" id="{00000000-0008-0000-0000-000080000000}"/>
                    </a:ext>
                  </a:extLst>
                </xdr:cNvPr>
                <xdr:cNvSpPr>
                  <a:spLocks noChangeArrowheads="1"/>
                </xdr:cNvSpPr>
              </xdr:nvSpPr>
              <xdr:spPr bwMode="auto">
                <a:xfrm>
                  <a:off x="403" y="366"/>
                  <a:ext cx="3" cy="14"/>
                </a:xfrm>
                <a:prstGeom prst="flowChartTerminator">
                  <a:avLst/>
                </a:prstGeom>
                <a:solidFill>
                  <a:srgbClr val="FF0000"/>
                </a:solidFill>
                <a:ln w="9525">
                  <a:solidFill>
                    <a:srgbClr val="000000"/>
                  </a:solidFill>
                  <a:miter lim="800000"/>
                  <a:headEnd/>
                  <a:tailEnd/>
                </a:ln>
              </xdr:spPr>
            </xdr:sp>
            <xdr:sp macro="" textlink="">
              <xdr:nvSpPr>
                <xdr:cNvPr id="129" name="AutoShape 146">
                  <a:extLst>
                    <a:ext uri="{FF2B5EF4-FFF2-40B4-BE49-F238E27FC236}">
                      <a16:creationId xmlns:a16="http://schemas.microsoft.com/office/drawing/2014/main" id="{00000000-0008-0000-0000-000081000000}"/>
                    </a:ext>
                  </a:extLst>
                </xdr:cNvPr>
                <xdr:cNvSpPr>
                  <a:spLocks noChangeArrowheads="1"/>
                </xdr:cNvSpPr>
              </xdr:nvSpPr>
              <xdr:spPr bwMode="auto">
                <a:xfrm>
                  <a:off x="409" y="366"/>
                  <a:ext cx="3" cy="14"/>
                </a:xfrm>
                <a:prstGeom prst="flowChartTerminator">
                  <a:avLst/>
                </a:prstGeom>
                <a:solidFill>
                  <a:srgbClr val="FF0000"/>
                </a:solidFill>
                <a:ln w="9525">
                  <a:solidFill>
                    <a:srgbClr val="000000"/>
                  </a:solidFill>
                  <a:miter lim="800000"/>
                  <a:headEnd/>
                  <a:tailEnd/>
                </a:ln>
              </xdr:spPr>
            </xdr:sp>
          </xdr:grpSp>
          <xdr:grpSp>
            <xdr:nvGrpSpPr>
              <xdr:cNvPr id="111" name="Group 147">
                <a:extLst>
                  <a:ext uri="{FF2B5EF4-FFF2-40B4-BE49-F238E27FC236}">
                    <a16:creationId xmlns:a16="http://schemas.microsoft.com/office/drawing/2014/main" id="{00000000-0008-0000-0000-00006F000000}"/>
                  </a:ext>
                </a:extLst>
              </xdr:cNvPr>
              <xdr:cNvGrpSpPr>
                <a:grpSpLocks/>
              </xdr:cNvGrpSpPr>
            </xdr:nvGrpSpPr>
            <xdr:grpSpPr bwMode="auto">
              <a:xfrm>
                <a:off x="361" y="417"/>
                <a:ext cx="51" cy="14"/>
                <a:chOff x="361" y="366"/>
                <a:chExt cx="51" cy="14"/>
              </a:xfrm>
            </xdr:grpSpPr>
            <xdr:sp macro="" textlink="">
              <xdr:nvSpPr>
                <xdr:cNvPr id="112" name="AutoShape 148">
                  <a:extLst>
                    <a:ext uri="{FF2B5EF4-FFF2-40B4-BE49-F238E27FC236}">
                      <a16:creationId xmlns:a16="http://schemas.microsoft.com/office/drawing/2014/main" id="{00000000-0008-0000-0000-000070000000}"/>
                    </a:ext>
                  </a:extLst>
                </xdr:cNvPr>
                <xdr:cNvSpPr>
                  <a:spLocks noChangeArrowheads="1"/>
                </xdr:cNvSpPr>
              </xdr:nvSpPr>
              <xdr:spPr bwMode="auto">
                <a:xfrm>
                  <a:off x="361" y="366"/>
                  <a:ext cx="3" cy="14"/>
                </a:xfrm>
                <a:prstGeom prst="flowChartTerminator">
                  <a:avLst/>
                </a:prstGeom>
                <a:solidFill>
                  <a:srgbClr val="FF0000"/>
                </a:solidFill>
                <a:ln w="9525">
                  <a:solidFill>
                    <a:srgbClr val="000000"/>
                  </a:solidFill>
                  <a:miter lim="800000"/>
                  <a:headEnd/>
                  <a:tailEnd/>
                </a:ln>
              </xdr:spPr>
            </xdr:sp>
            <xdr:sp macro="" textlink="">
              <xdr:nvSpPr>
                <xdr:cNvPr id="113" name="AutoShape 149">
                  <a:extLst>
                    <a:ext uri="{FF2B5EF4-FFF2-40B4-BE49-F238E27FC236}">
                      <a16:creationId xmlns:a16="http://schemas.microsoft.com/office/drawing/2014/main" id="{00000000-0008-0000-0000-000071000000}"/>
                    </a:ext>
                  </a:extLst>
                </xdr:cNvPr>
                <xdr:cNvSpPr>
                  <a:spLocks noChangeArrowheads="1"/>
                </xdr:cNvSpPr>
              </xdr:nvSpPr>
              <xdr:spPr bwMode="auto">
                <a:xfrm>
                  <a:off x="367" y="366"/>
                  <a:ext cx="3" cy="14"/>
                </a:xfrm>
                <a:prstGeom prst="flowChartTerminator">
                  <a:avLst/>
                </a:prstGeom>
                <a:solidFill>
                  <a:srgbClr val="FF0000"/>
                </a:solidFill>
                <a:ln w="9525">
                  <a:solidFill>
                    <a:srgbClr val="000000"/>
                  </a:solidFill>
                  <a:miter lim="800000"/>
                  <a:headEnd/>
                  <a:tailEnd/>
                </a:ln>
              </xdr:spPr>
            </xdr:sp>
            <xdr:sp macro="" textlink="">
              <xdr:nvSpPr>
                <xdr:cNvPr id="114" name="AutoShape 150">
                  <a:extLst>
                    <a:ext uri="{FF2B5EF4-FFF2-40B4-BE49-F238E27FC236}">
                      <a16:creationId xmlns:a16="http://schemas.microsoft.com/office/drawing/2014/main" id="{00000000-0008-0000-0000-000072000000}"/>
                    </a:ext>
                  </a:extLst>
                </xdr:cNvPr>
                <xdr:cNvSpPr>
                  <a:spLocks noChangeArrowheads="1"/>
                </xdr:cNvSpPr>
              </xdr:nvSpPr>
              <xdr:spPr bwMode="auto">
                <a:xfrm>
                  <a:off x="373" y="366"/>
                  <a:ext cx="3" cy="14"/>
                </a:xfrm>
                <a:prstGeom prst="flowChartTerminator">
                  <a:avLst/>
                </a:prstGeom>
                <a:solidFill>
                  <a:srgbClr val="FF0000"/>
                </a:solidFill>
                <a:ln w="9525">
                  <a:solidFill>
                    <a:srgbClr val="000000"/>
                  </a:solidFill>
                  <a:miter lim="800000"/>
                  <a:headEnd/>
                  <a:tailEnd/>
                </a:ln>
              </xdr:spPr>
            </xdr:sp>
            <xdr:sp macro="" textlink="">
              <xdr:nvSpPr>
                <xdr:cNvPr id="115" name="AutoShape 151">
                  <a:extLst>
                    <a:ext uri="{FF2B5EF4-FFF2-40B4-BE49-F238E27FC236}">
                      <a16:creationId xmlns:a16="http://schemas.microsoft.com/office/drawing/2014/main" id="{00000000-0008-0000-0000-000073000000}"/>
                    </a:ext>
                  </a:extLst>
                </xdr:cNvPr>
                <xdr:cNvSpPr>
                  <a:spLocks noChangeArrowheads="1"/>
                </xdr:cNvSpPr>
              </xdr:nvSpPr>
              <xdr:spPr bwMode="auto">
                <a:xfrm>
                  <a:off x="379" y="366"/>
                  <a:ext cx="3" cy="14"/>
                </a:xfrm>
                <a:prstGeom prst="flowChartTerminator">
                  <a:avLst/>
                </a:prstGeom>
                <a:solidFill>
                  <a:srgbClr val="FF0000"/>
                </a:solidFill>
                <a:ln w="9525">
                  <a:solidFill>
                    <a:srgbClr val="000000"/>
                  </a:solidFill>
                  <a:miter lim="800000"/>
                  <a:headEnd/>
                  <a:tailEnd/>
                </a:ln>
              </xdr:spPr>
            </xdr:sp>
            <xdr:sp macro="" textlink="">
              <xdr:nvSpPr>
                <xdr:cNvPr id="116" name="AutoShape 152">
                  <a:extLst>
                    <a:ext uri="{FF2B5EF4-FFF2-40B4-BE49-F238E27FC236}">
                      <a16:creationId xmlns:a16="http://schemas.microsoft.com/office/drawing/2014/main" id="{00000000-0008-0000-0000-000074000000}"/>
                    </a:ext>
                  </a:extLst>
                </xdr:cNvPr>
                <xdr:cNvSpPr>
                  <a:spLocks noChangeArrowheads="1"/>
                </xdr:cNvSpPr>
              </xdr:nvSpPr>
              <xdr:spPr bwMode="auto">
                <a:xfrm>
                  <a:off x="385" y="366"/>
                  <a:ext cx="3" cy="14"/>
                </a:xfrm>
                <a:prstGeom prst="flowChartTerminator">
                  <a:avLst/>
                </a:prstGeom>
                <a:solidFill>
                  <a:srgbClr val="FF0000"/>
                </a:solidFill>
                <a:ln w="9525">
                  <a:solidFill>
                    <a:srgbClr val="000000"/>
                  </a:solidFill>
                  <a:miter lim="800000"/>
                  <a:headEnd/>
                  <a:tailEnd/>
                </a:ln>
              </xdr:spPr>
            </xdr:sp>
            <xdr:sp macro="" textlink="">
              <xdr:nvSpPr>
                <xdr:cNvPr id="117" name="AutoShape 153">
                  <a:extLst>
                    <a:ext uri="{FF2B5EF4-FFF2-40B4-BE49-F238E27FC236}">
                      <a16:creationId xmlns:a16="http://schemas.microsoft.com/office/drawing/2014/main" id="{00000000-0008-0000-0000-000075000000}"/>
                    </a:ext>
                  </a:extLst>
                </xdr:cNvPr>
                <xdr:cNvSpPr>
                  <a:spLocks noChangeArrowheads="1"/>
                </xdr:cNvSpPr>
              </xdr:nvSpPr>
              <xdr:spPr bwMode="auto">
                <a:xfrm>
                  <a:off x="391" y="366"/>
                  <a:ext cx="3" cy="14"/>
                </a:xfrm>
                <a:prstGeom prst="flowChartTerminator">
                  <a:avLst/>
                </a:prstGeom>
                <a:solidFill>
                  <a:srgbClr val="FF0000"/>
                </a:solidFill>
                <a:ln w="9525">
                  <a:solidFill>
                    <a:srgbClr val="000000"/>
                  </a:solidFill>
                  <a:miter lim="800000"/>
                  <a:headEnd/>
                  <a:tailEnd/>
                </a:ln>
              </xdr:spPr>
            </xdr:sp>
            <xdr:sp macro="" textlink="">
              <xdr:nvSpPr>
                <xdr:cNvPr id="118" name="AutoShape 154">
                  <a:extLst>
                    <a:ext uri="{FF2B5EF4-FFF2-40B4-BE49-F238E27FC236}">
                      <a16:creationId xmlns:a16="http://schemas.microsoft.com/office/drawing/2014/main" id="{00000000-0008-0000-0000-000076000000}"/>
                    </a:ext>
                  </a:extLst>
                </xdr:cNvPr>
                <xdr:cNvSpPr>
                  <a:spLocks noChangeArrowheads="1"/>
                </xdr:cNvSpPr>
              </xdr:nvSpPr>
              <xdr:spPr bwMode="auto">
                <a:xfrm>
                  <a:off x="397" y="366"/>
                  <a:ext cx="3" cy="14"/>
                </a:xfrm>
                <a:prstGeom prst="flowChartTerminator">
                  <a:avLst/>
                </a:prstGeom>
                <a:solidFill>
                  <a:srgbClr val="FF0000"/>
                </a:solidFill>
                <a:ln w="9525">
                  <a:solidFill>
                    <a:srgbClr val="000000"/>
                  </a:solidFill>
                  <a:miter lim="800000"/>
                  <a:headEnd/>
                  <a:tailEnd/>
                </a:ln>
              </xdr:spPr>
            </xdr:sp>
            <xdr:sp macro="" textlink="">
              <xdr:nvSpPr>
                <xdr:cNvPr id="119" name="AutoShape 155">
                  <a:extLst>
                    <a:ext uri="{FF2B5EF4-FFF2-40B4-BE49-F238E27FC236}">
                      <a16:creationId xmlns:a16="http://schemas.microsoft.com/office/drawing/2014/main" id="{00000000-0008-0000-0000-000077000000}"/>
                    </a:ext>
                  </a:extLst>
                </xdr:cNvPr>
                <xdr:cNvSpPr>
                  <a:spLocks noChangeArrowheads="1"/>
                </xdr:cNvSpPr>
              </xdr:nvSpPr>
              <xdr:spPr bwMode="auto">
                <a:xfrm>
                  <a:off x="403" y="366"/>
                  <a:ext cx="3" cy="14"/>
                </a:xfrm>
                <a:prstGeom prst="flowChartTerminator">
                  <a:avLst/>
                </a:prstGeom>
                <a:solidFill>
                  <a:srgbClr val="FF0000"/>
                </a:solidFill>
                <a:ln w="9525">
                  <a:solidFill>
                    <a:srgbClr val="000000"/>
                  </a:solidFill>
                  <a:miter lim="800000"/>
                  <a:headEnd/>
                  <a:tailEnd/>
                </a:ln>
              </xdr:spPr>
            </xdr:sp>
            <xdr:sp macro="" textlink="">
              <xdr:nvSpPr>
                <xdr:cNvPr id="120" name="AutoShape 156">
                  <a:extLst>
                    <a:ext uri="{FF2B5EF4-FFF2-40B4-BE49-F238E27FC236}">
                      <a16:creationId xmlns:a16="http://schemas.microsoft.com/office/drawing/2014/main" id="{00000000-0008-0000-0000-000078000000}"/>
                    </a:ext>
                  </a:extLst>
                </xdr:cNvPr>
                <xdr:cNvSpPr>
                  <a:spLocks noChangeArrowheads="1"/>
                </xdr:cNvSpPr>
              </xdr:nvSpPr>
              <xdr:spPr bwMode="auto">
                <a:xfrm>
                  <a:off x="409" y="366"/>
                  <a:ext cx="3" cy="14"/>
                </a:xfrm>
                <a:prstGeom prst="flowChartTerminator">
                  <a:avLst/>
                </a:prstGeom>
                <a:solidFill>
                  <a:srgbClr val="FF0000"/>
                </a:solidFill>
                <a:ln w="9525">
                  <a:solidFill>
                    <a:srgbClr val="000000"/>
                  </a:solidFill>
                  <a:miter lim="800000"/>
                  <a:headEnd/>
                  <a:tailEnd/>
                </a:ln>
              </xdr:spPr>
            </xdr:sp>
          </xdr:grpSp>
        </xdr:grpSp>
        <xdr:sp macro="" textlink="">
          <xdr:nvSpPr>
            <xdr:cNvPr id="81" name="AutoShape 157">
              <a:extLst>
                <a:ext uri="{FF2B5EF4-FFF2-40B4-BE49-F238E27FC236}">
                  <a16:creationId xmlns:a16="http://schemas.microsoft.com/office/drawing/2014/main" id="{00000000-0008-0000-0000-000051000000}"/>
                </a:ext>
              </a:extLst>
            </xdr:cNvPr>
            <xdr:cNvSpPr>
              <a:spLocks noChangeArrowheads="1"/>
            </xdr:cNvSpPr>
          </xdr:nvSpPr>
          <xdr:spPr bwMode="auto">
            <a:xfrm>
              <a:off x="285" y="455"/>
              <a:ext cx="47" cy="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677 w 21600"/>
                <a:gd name="T13" fmla="*/ 2700 h 21600"/>
                <a:gd name="T14" fmla="*/ 17923 w 21600"/>
                <a:gd name="T15" fmla="*/ 18900 h 21600"/>
              </a:gdLst>
              <a:ahLst/>
              <a:cxnLst>
                <a:cxn ang="T8">
                  <a:pos x="T0" y="T1"/>
                </a:cxn>
                <a:cxn ang="T9">
                  <a:pos x="T2" y="T3"/>
                </a:cxn>
                <a:cxn ang="T10">
                  <a:pos x="T4" y="T5"/>
                </a:cxn>
                <a:cxn ang="T11">
                  <a:pos x="T6" y="T7"/>
                </a:cxn>
              </a:cxnLst>
              <a:rect l="T12" t="T13" r="T14" b="T15"/>
              <a:pathLst>
                <a:path w="21600" h="21600">
                  <a:moveTo>
                    <a:pt x="0" y="0"/>
                  </a:moveTo>
                  <a:lnTo>
                    <a:pt x="3677" y="21600"/>
                  </a:lnTo>
                  <a:lnTo>
                    <a:pt x="17923"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82" name="Rectangle 158">
              <a:extLst>
                <a:ext uri="{FF2B5EF4-FFF2-40B4-BE49-F238E27FC236}">
                  <a16:creationId xmlns:a16="http://schemas.microsoft.com/office/drawing/2014/main" id="{00000000-0008-0000-0000-000052000000}"/>
                </a:ext>
              </a:extLst>
            </xdr:cNvPr>
            <xdr:cNvSpPr>
              <a:spLocks noChangeArrowheads="1"/>
            </xdr:cNvSpPr>
          </xdr:nvSpPr>
          <xdr:spPr bwMode="auto">
            <a:xfrm>
              <a:off x="293" y="463"/>
              <a:ext cx="32" cy="30"/>
            </a:xfrm>
            <a:prstGeom prst="rect">
              <a:avLst/>
            </a:prstGeom>
            <a:solidFill>
              <a:srgbClr val="FF0000"/>
            </a:solidFill>
            <a:ln w="9525">
              <a:solidFill>
                <a:srgbClr val="000000"/>
              </a:solidFill>
              <a:miter lim="800000"/>
              <a:headEnd/>
              <a:tailEnd/>
            </a:ln>
          </xdr:spPr>
        </xdr:sp>
        <xdr:sp macro="" textlink="">
          <xdr:nvSpPr>
            <xdr:cNvPr id="83" name="Rectangle 159">
              <a:extLst>
                <a:ext uri="{FF2B5EF4-FFF2-40B4-BE49-F238E27FC236}">
                  <a16:creationId xmlns:a16="http://schemas.microsoft.com/office/drawing/2014/main" id="{00000000-0008-0000-0000-000053000000}"/>
                </a:ext>
              </a:extLst>
            </xdr:cNvPr>
            <xdr:cNvSpPr>
              <a:spLocks noChangeArrowheads="1"/>
            </xdr:cNvSpPr>
          </xdr:nvSpPr>
          <xdr:spPr bwMode="auto">
            <a:xfrm>
              <a:off x="287" y="488"/>
              <a:ext cx="6" cy="8"/>
            </a:xfrm>
            <a:prstGeom prst="rect">
              <a:avLst/>
            </a:prstGeom>
            <a:solidFill>
              <a:srgbClr val="FF0000"/>
            </a:solidFill>
            <a:ln w="9525">
              <a:solidFill>
                <a:srgbClr val="000000"/>
              </a:solidFill>
              <a:miter lim="800000"/>
              <a:headEnd/>
              <a:tailEnd/>
            </a:ln>
          </xdr:spPr>
        </xdr:sp>
        <xdr:sp macro="" textlink="">
          <xdr:nvSpPr>
            <xdr:cNvPr id="84" name="Rectangle 160">
              <a:extLst>
                <a:ext uri="{FF2B5EF4-FFF2-40B4-BE49-F238E27FC236}">
                  <a16:creationId xmlns:a16="http://schemas.microsoft.com/office/drawing/2014/main" id="{00000000-0008-0000-0000-000054000000}"/>
                </a:ext>
              </a:extLst>
            </xdr:cNvPr>
            <xdr:cNvSpPr>
              <a:spLocks noChangeArrowheads="1"/>
            </xdr:cNvSpPr>
          </xdr:nvSpPr>
          <xdr:spPr bwMode="auto">
            <a:xfrm>
              <a:off x="284" y="493"/>
              <a:ext cx="47" cy="8"/>
            </a:xfrm>
            <a:prstGeom prst="rect">
              <a:avLst/>
            </a:prstGeom>
            <a:solidFill>
              <a:srgbClr val="FF0000"/>
            </a:solidFill>
            <a:ln w="9525">
              <a:solidFill>
                <a:srgbClr val="000000"/>
              </a:solidFill>
              <a:miter lim="800000"/>
              <a:headEnd/>
              <a:tailEnd/>
            </a:ln>
          </xdr:spPr>
        </xdr:sp>
        <xdr:sp macro="" textlink="">
          <xdr:nvSpPr>
            <xdr:cNvPr id="85" name="Rectangle 161">
              <a:extLst>
                <a:ext uri="{FF2B5EF4-FFF2-40B4-BE49-F238E27FC236}">
                  <a16:creationId xmlns:a16="http://schemas.microsoft.com/office/drawing/2014/main" id="{00000000-0008-0000-0000-000055000000}"/>
                </a:ext>
              </a:extLst>
            </xdr:cNvPr>
            <xdr:cNvSpPr>
              <a:spLocks noChangeArrowheads="1"/>
            </xdr:cNvSpPr>
          </xdr:nvSpPr>
          <xdr:spPr bwMode="auto">
            <a:xfrm>
              <a:off x="323" y="488"/>
              <a:ext cx="6" cy="5"/>
            </a:xfrm>
            <a:prstGeom prst="rect">
              <a:avLst/>
            </a:prstGeom>
            <a:solidFill>
              <a:srgbClr val="FF0000"/>
            </a:solidFill>
            <a:ln w="9525">
              <a:solidFill>
                <a:srgbClr val="000000"/>
              </a:solidFill>
              <a:miter lim="800000"/>
              <a:headEnd/>
              <a:tailEnd/>
            </a:ln>
          </xdr:spPr>
        </xdr:sp>
        <xdr:sp macro="" textlink="">
          <xdr:nvSpPr>
            <xdr:cNvPr id="86" name="Rectangle 162">
              <a:extLst>
                <a:ext uri="{FF2B5EF4-FFF2-40B4-BE49-F238E27FC236}">
                  <a16:creationId xmlns:a16="http://schemas.microsoft.com/office/drawing/2014/main" id="{00000000-0008-0000-0000-000056000000}"/>
                </a:ext>
              </a:extLst>
            </xdr:cNvPr>
            <xdr:cNvSpPr>
              <a:spLocks noChangeArrowheads="1"/>
            </xdr:cNvSpPr>
          </xdr:nvSpPr>
          <xdr:spPr bwMode="auto">
            <a:xfrm>
              <a:off x="310" y="488"/>
              <a:ext cx="6" cy="5"/>
            </a:xfrm>
            <a:prstGeom prst="rect">
              <a:avLst/>
            </a:prstGeom>
            <a:solidFill>
              <a:srgbClr val="FF0000"/>
            </a:solidFill>
            <a:ln w="9525">
              <a:solidFill>
                <a:srgbClr val="000000"/>
              </a:solidFill>
              <a:miter lim="800000"/>
              <a:headEnd/>
              <a:tailEnd/>
            </a:ln>
          </xdr:spPr>
        </xdr:sp>
        <xdr:sp macro="" textlink="">
          <xdr:nvSpPr>
            <xdr:cNvPr id="87" name="Rectangle 163">
              <a:extLst>
                <a:ext uri="{FF2B5EF4-FFF2-40B4-BE49-F238E27FC236}">
                  <a16:creationId xmlns:a16="http://schemas.microsoft.com/office/drawing/2014/main" id="{00000000-0008-0000-0000-000057000000}"/>
                </a:ext>
              </a:extLst>
            </xdr:cNvPr>
            <xdr:cNvSpPr>
              <a:spLocks noChangeArrowheads="1"/>
            </xdr:cNvSpPr>
          </xdr:nvSpPr>
          <xdr:spPr bwMode="auto">
            <a:xfrm>
              <a:off x="298" y="488"/>
              <a:ext cx="6" cy="5"/>
            </a:xfrm>
            <a:prstGeom prst="rect">
              <a:avLst/>
            </a:prstGeom>
            <a:solidFill>
              <a:srgbClr val="FF0000"/>
            </a:solidFill>
            <a:ln w="9525">
              <a:solidFill>
                <a:srgbClr val="000000"/>
              </a:solidFill>
              <a:miter lim="800000"/>
              <a:headEnd/>
              <a:tailEnd/>
            </a:ln>
          </xdr:spPr>
        </xdr:sp>
        <xdr:sp macro="" textlink="">
          <xdr:nvSpPr>
            <xdr:cNvPr id="88" name="Rectangle 164">
              <a:extLst>
                <a:ext uri="{FF2B5EF4-FFF2-40B4-BE49-F238E27FC236}">
                  <a16:creationId xmlns:a16="http://schemas.microsoft.com/office/drawing/2014/main" id="{00000000-0008-0000-0000-000058000000}"/>
                </a:ext>
              </a:extLst>
            </xdr:cNvPr>
            <xdr:cNvSpPr>
              <a:spLocks noChangeArrowheads="1"/>
            </xdr:cNvSpPr>
          </xdr:nvSpPr>
          <xdr:spPr bwMode="auto">
            <a:xfrm>
              <a:off x="284" y="501"/>
              <a:ext cx="47" cy="15"/>
            </a:xfrm>
            <a:prstGeom prst="rect">
              <a:avLst/>
            </a:prstGeom>
            <a:solidFill>
              <a:srgbClr val="FF0000"/>
            </a:solidFill>
            <a:ln w="9525">
              <a:solidFill>
                <a:srgbClr val="000000"/>
              </a:solidFill>
              <a:miter lim="800000"/>
              <a:headEnd/>
              <a:tailEnd/>
            </a:ln>
          </xdr:spPr>
        </xdr:sp>
        <xdr:sp macro="" textlink="">
          <xdr:nvSpPr>
            <xdr:cNvPr id="89" name="Rectangle 165">
              <a:extLst>
                <a:ext uri="{FF2B5EF4-FFF2-40B4-BE49-F238E27FC236}">
                  <a16:creationId xmlns:a16="http://schemas.microsoft.com/office/drawing/2014/main" id="{00000000-0008-0000-0000-000059000000}"/>
                </a:ext>
              </a:extLst>
            </xdr:cNvPr>
            <xdr:cNvSpPr>
              <a:spLocks noChangeArrowheads="1"/>
            </xdr:cNvSpPr>
          </xdr:nvSpPr>
          <xdr:spPr bwMode="auto">
            <a:xfrm>
              <a:off x="286" y="516"/>
              <a:ext cx="43" cy="8"/>
            </a:xfrm>
            <a:prstGeom prst="rect">
              <a:avLst/>
            </a:prstGeom>
            <a:solidFill>
              <a:srgbClr val="FF0000"/>
            </a:solidFill>
            <a:ln w="9525">
              <a:solidFill>
                <a:srgbClr val="000000"/>
              </a:solidFill>
              <a:miter lim="800000"/>
              <a:headEnd/>
              <a:tailEnd/>
            </a:ln>
          </xdr:spPr>
        </xdr:sp>
        <xdr:sp macro="" textlink="">
          <xdr:nvSpPr>
            <xdr:cNvPr id="90" name="Rectangle 166">
              <a:extLst>
                <a:ext uri="{FF2B5EF4-FFF2-40B4-BE49-F238E27FC236}">
                  <a16:creationId xmlns:a16="http://schemas.microsoft.com/office/drawing/2014/main" id="{00000000-0008-0000-0000-00005A000000}"/>
                </a:ext>
              </a:extLst>
            </xdr:cNvPr>
            <xdr:cNvSpPr>
              <a:spLocks noChangeArrowheads="1"/>
            </xdr:cNvSpPr>
          </xdr:nvSpPr>
          <xdr:spPr bwMode="auto">
            <a:xfrm>
              <a:off x="284" y="524"/>
              <a:ext cx="48" cy="12"/>
            </a:xfrm>
            <a:prstGeom prst="rect">
              <a:avLst/>
            </a:prstGeom>
            <a:solidFill>
              <a:srgbClr val="FF0000"/>
            </a:solidFill>
            <a:ln w="9525">
              <a:solidFill>
                <a:srgbClr val="000000"/>
              </a:solidFill>
              <a:miter lim="800000"/>
              <a:headEnd/>
              <a:tailEnd/>
            </a:ln>
          </xdr:spPr>
        </xdr:sp>
        <xdr:sp macro="" textlink="">
          <xdr:nvSpPr>
            <xdr:cNvPr id="91" name="Rectangle 167">
              <a:extLst>
                <a:ext uri="{FF2B5EF4-FFF2-40B4-BE49-F238E27FC236}">
                  <a16:creationId xmlns:a16="http://schemas.microsoft.com/office/drawing/2014/main" id="{00000000-0008-0000-0000-00005B000000}"/>
                </a:ext>
              </a:extLst>
            </xdr:cNvPr>
            <xdr:cNvSpPr>
              <a:spLocks noChangeArrowheads="1"/>
            </xdr:cNvSpPr>
          </xdr:nvSpPr>
          <xdr:spPr bwMode="auto">
            <a:xfrm>
              <a:off x="284" y="536"/>
              <a:ext cx="48" cy="100"/>
            </a:xfrm>
            <a:prstGeom prst="rect">
              <a:avLst/>
            </a:prstGeom>
            <a:solidFill>
              <a:srgbClr val="FF0000"/>
            </a:solidFill>
            <a:ln w="9525">
              <a:solidFill>
                <a:srgbClr val="000000"/>
              </a:solidFill>
              <a:miter lim="800000"/>
              <a:headEnd/>
              <a:tailEnd/>
            </a:ln>
          </xdr:spPr>
        </xdr:sp>
        <xdr:sp macro="" textlink="">
          <xdr:nvSpPr>
            <xdr:cNvPr id="92" name="Rectangle 168">
              <a:extLst>
                <a:ext uri="{FF2B5EF4-FFF2-40B4-BE49-F238E27FC236}">
                  <a16:creationId xmlns:a16="http://schemas.microsoft.com/office/drawing/2014/main" id="{00000000-0008-0000-0000-00005C000000}"/>
                </a:ext>
              </a:extLst>
            </xdr:cNvPr>
            <xdr:cNvSpPr>
              <a:spLocks noChangeArrowheads="1"/>
            </xdr:cNvSpPr>
          </xdr:nvSpPr>
          <xdr:spPr bwMode="auto">
            <a:xfrm>
              <a:off x="284" y="636"/>
              <a:ext cx="48" cy="12"/>
            </a:xfrm>
            <a:prstGeom prst="rect">
              <a:avLst/>
            </a:prstGeom>
            <a:solidFill>
              <a:srgbClr val="FF0000"/>
            </a:solidFill>
            <a:ln w="9525">
              <a:solidFill>
                <a:srgbClr val="000000"/>
              </a:solidFill>
              <a:miter lim="800000"/>
              <a:headEnd/>
              <a:tailEnd/>
            </a:ln>
          </xdr:spPr>
        </xdr:sp>
        <xdr:sp macro="" textlink="">
          <xdr:nvSpPr>
            <xdr:cNvPr id="93" name="Rectangle 169">
              <a:extLst>
                <a:ext uri="{FF2B5EF4-FFF2-40B4-BE49-F238E27FC236}">
                  <a16:creationId xmlns:a16="http://schemas.microsoft.com/office/drawing/2014/main" id="{00000000-0008-0000-0000-00005D000000}"/>
                </a:ext>
              </a:extLst>
            </xdr:cNvPr>
            <xdr:cNvSpPr>
              <a:spLocks noChangeArrowheads="1"/>
            </xdr:cNvSpPr>
          </xdr:nvSpPr>
          <xdr:spPr bwMode="auto">
            <a:xfrm>
              <a:off x="284" y="648"/>
              <a:ext cx="48" cy="36"/>
            </a:xfrm>
            <a:prstGeom prst="rect">
              <a:avLst/>
            </a:prstGeom>
            <a:solidFill>
              <a:srgbClr val="FF0000"/>
            </a:solidFill>
            <a:ln w="9525">
              <a:solidFill>
                <a:srgbClr val="000000"/>
              </a:solidFill>
              <a:miter lim="800000"/>
              <a:headEnd/>
              <a:tailEnd/>
            </a:ln>
          </xdr:spPr>
        </xdr:sp>
        <xdr:sp macro="" textlink="">
          <xdr:nvSpPr>
            <xdr:cNvPr id="94" name="Rectangle 170">
              <a:extLst>
                <a:ext uri="{FF2B5EF4-FFF2-40B4-BE49-F238E27FC236}">
                  <a16:creationId xmlns:a16="http://schemas.microsoft.com/office/drawing/2014/main" id="{00000000-0008-0000-0000-00005E000000}"/>
                </a:ext>
              </a:extLst>
            </xdr:cNvPr>
            <xdr:cNvSpPr>
              <a:spLocks noChangeArrowheads="1"/>
            </xdr:cNvSpPr>
          </xdr:nvSpPr>
          <xdr:spPr bwMode="auto">
            <a:xfrm>
              <a:off x="284" y="684"/>
              <a:ext cx="48" cy="8"/>
            </a:xfrm>
            <a:prstGeom prst="rect">
              <a:avLst/>
            </a:prstGeom>
            <a:solidFill>
              <a:srgbClr val="FF0000"/>
            </a:solidFill>
            <a:ln w="9525">
              <a:solidFill>
                <a:srgbClr val="000000"/>
              </a:solidFill>
              <a:miter lim="800000"/>
              <a:headEnd/>
              <a:tailEnd/>
            </a:ln>
          </xdr:spPr>
        </xdr:sp>
        <xdr:sp macro="" textlink="">
          <xdr:nvSpPr>
            <xdr:cNvPr id="95" name="Rectangle 171">
              <a:extLst>
                <a:ext uri="{FF2B5EF4-FFF2-40B4-BE49-F238E27FC236}">
                  <a16:creationId xmlns:a16="http://schemas.microsoft.com/office/drawing/2014/main" id="{00000000-0008-0000-0000-00005F000000}"/>
                </a:ext>
              </a:extLst>
            </xdr:cNvPr>
            <xdr:cNvSpPr>
              <a:spLocks noChangeArrowheads="1"/>
            </xdr:cNvSpPr>
          </xdr:nvSpPr>
          <xdr:spPr bwMode="auto">
            <a:xfrm>
              <a:off x="292" y="692"/>
              <a:ext cx="32" cy="30"/>
            </a:xfrm>
            <a:prstGeom prst="rect">
              <a:avLst/>
            </a:prstGeom>
            <a:solidFill>
              <a:srgbClr val="FF0000"/>
            </a:solidFill>
            <a:ln w="9525">
              <a:solidFill>
                <a:srgbClr val="000000"/>
              </a:solidFill>
              <a:miter lim="800000"/>
              <a:headEnd/>
              <a:tailEnd/>
            </a:ln>
          </xdr:spPr>
        </xdr:sp>
        <xdr:grpSp>
          <xdr:nvGrpSpPr>
            <xdr:cNvPr id="96" name="Group 172">
              <a:extLst>
                <a:ext uri="{FF2B5EF4-FFF2-40B4-BE49-F238E27FC236}">
                  <a16:creationId xmlns:a16="http://schemas.microsoft.com/office/drawing/2014/main" id="{00000000-0008-0000-0000-000060000000}"/>
                </a:ext>
              </a:extLst>
            </xdr:cNvPr>
            <xdr:cNvGrpSpPr>
              <a:grpSpLocks/>
            </xdr:cNvGrpSpPr>
          </xdr:nvGrpSpPr>
          <xdr:grpSpPr bwMode="auto">
            <a:xfrm>
              <a:off x="280" y="716"/>
              <a:ext cx="47" cy="28"/>
              <a:chOff x="199" y="264"/>
              <a:chExt cx="47" cy="28"/>
            </a:xfrm>
          </xdr:grpSpPr>
          <xdr:sp macro="" textlink="">
            <xdr:nvSpPr>
              <xdr:cNvPr id="101" name="Rectangle 173">
                <a:extLst>
                  <a:ext uri="{FF2B5EF4-FFF2-40B4-BE49-F238E27FC236}">
                    <a16:creationId xmlns:a16="http://schemas.microsoft.com/office/drawing/2014/main" id="{00000000-0008-0000-0000-000065000000}"/>
                  </a:ext>
                </a:extLst>
              </xdr:cNvPr>
              <xdr:cNvSpPr>
                <a:spLocks noChangeArrowheads="1"/>
              </xdr:cNvSpPr>
            </xdr:nvSpPr>
            <xdr:spPr bwMode="auto">
              <a:xfrm>
                <a:off x="202" y="264"/>
                <a:ext cx="6" cy="8"/>
              </a:xfrm>
              <a:prstGeom prst="rect">
                <a:avLst/>
              </a:prstGeom>
              <a:solidFill>
                <a:srgbClr val="FF0000"/>
              </a:solidFill>
              <a:ln w="9525">
                <a:solidFill>
                  <a:srgbClr val="000000"/>
                </a:solidFill>
                <a:miter lim="800000"/>
                <a:headEnd/>
                <a:tailEnd/>
              </a:ln>
            </xdr:spPr>
          </xdr:sp>
          <xdr:sp macro="" textlink="">
            <xdr:nvSpPr>
              <xdr:cNvPr id="102" name="Rectangle 174">
                <a:extLst>
                  <a:ext uri="{FF2B5EF4-FFF2-40B4-BE49-F238E27FC236}">
                    <a16:creationId xmlns:a16="http://schemas.microsoft.com/office/drawing/2014/main" id="{00000000-0008-0000-0000-000066000000}"/>
                  </a:ext>
                </a:extLst>
              </xdr:cNvPr>
              <xdr:cNvSpPr>
                <a:spLocks noChangeArrowheads="1"/>
              </xdr:cNvSpPr>
            </xdr:nvSpPr>
            <xdr:spPr bwMode="auto">
              <a:xfrm>
                <a:off x="199" y="269"/>
                <a:ext cx="47" cy="8"/>
              </a:xfrm>
              <a:prstGeom prst="rect">
                <a:avLst/>
              </a:prstGeom>
              <a:solidFill>
                <a:srgbClr val="FF0000"/>
              </a:solidFill>
              <a:ln w="9525">
                <a:solidFill>
                  <a:srgbClr val="000000"/>
                </a:solidFill>
                <a:miter lim="800000"/>
                <a:headEnd/>
                <a:tailEnd/>
              </a:ln>
            </xdr:spPr>
          </xdr:sp>
          <xdr:sp macro="" textlink="">
            <xdr:nvSpPr>
              <xdr:cNvPr id="103" name="Rectangle 175">
                <a:extLst>
                  <a:ext uri="{FF2B5EF4-FFF2-40B4-BE49-F238E27FC236}">
                    <a16:creationId xmlns:a16="http://schemas.microsoft.com/office/drawing/2014/main" id="{00000000-0008-0000-0000-000067000000}"/>
                  </a:ext>
                </a:extLst>
              </xdr:cNvPr>
              <xdr:cNvSpPr>
                <a:spLocks noChangeArrowheads="1"/>
              </xdr:cNvSpPr>
            </xdr:nvSpPr>
            <xdr:spPr bwMode="auto">
              <a:xfrm>
                <a:off x="238" y="264"/>
                <a:ext cx="6" cy="5"/>
              </a:xfrm>
              <a:prstGeom prst="rect">
                <a:avLst/>
              </a:prstGeom>
              <a:solidFill>
                <a:srgbClr val="FF0000"/>
              </a:solidFill>
              <a:ln w="9525">
                <a:solidFill>
                  <a:srgbClr val="000000"/>
                </a:solidFill>
                <a:miter lim="800000"/>
                <a:headEnd/>
                <a:tailEnd/>
              </a:ln>
            </xdr:spPr>
          </xdr:sp>
          <xdr:sp macro="" textlink="">
            <xdr:nvSpPr>
              <xdr:cNvPr id="104" name="Rectangle 176">
                <a:extLst>
                  <a:ext uri="{FF2B5EF4-FFF2-40B4-BE49-F238E27FC236}">
                    <a16:creationId xmlns:a16="http://schemas.microsoft.com/office/drawing/2014/main" id="{00000000-0008-0000-0000-000068000000}"/>
                  </a:ext>
                </a:extLst>
              </xdr:cNvPr>
              <xdr:cNvSpPr>
                <a:spLocks noChangeArrowheads="1"/>
              </xdr:cNvSpPr>
            </xdr:nvSpPr>
            <xdr:spPr bwMode="auto">
              <a:xfrm>
                <a:off x="225" y="264"/>
                <a:ext cx="6" cy="5"/>
              </a:xfrm>
              <a:prstGeom prst="rect">
                <a:avLst/>
              </a:prstGeom>
              <a:solidFill>
                <a:srgbClr val="FF0000"/>
              </a:solidFill>
              <a:ln w="9525">
                <a:solidFill>
                  <a:srgbClr val="000000"/>
                </a:solidFill>
                <a:miter lim="800000"/>
                <a:headEnd/>
                <a:tailEnd/>
              </a:ln>
            </xdr:spPr>
          </xdr:sp>
          <xdr:sp macro="" textlink="">
            <xdr:nvSpPr>
              <xdr:cNvPr id="105" name="Rectangle 177">
                <a:extLst>
                  <a:ext uri="{FF2B5EF4-FFF2-40B4-BE49-F238E27FC236}">
                    <a16:creationId xmlns:a16="http://schemas.microsoft.com/office/drawing/2014/main" id="{00000000-0008-0000-0000-000069000000}"/>
                  </a:ext>
                </a:extLst>
              </xdr:cNvPr>
              <xdr:cNvSpPr>
                <a:spLocks noChangeArrowheads="1"/>
              </xdr:cNvSpPr>
            </xdr:nvSpPr>
            <xdr:spPr bwMode="auto">
              <a:xfrm>
                <a:off x="213" y="264"/>
                <a:ext cx="6" cy="5"/>
              </a:xfrm>
              <a:prstGeom prst="rect">
                <a:avLst/>
              </a:prstGeom>
              <a:solidFill>
                <a:srgbClr val="FF0000"/>
              </a:solidFill>
              <a:ln w="9525">
                <a:solidFill>
                  <a:srgbClr val="000000"/>
                </a:solidFill>
                <a:miter lim="800000"/>
                <a:headEnd/>
                <a:tailEnd/>
              </a:ln>
            </xdr:spPr>
          </xdr:sp>
          <xdr:sp macro="" textlink="">
            <xdr:nvSpPr>
              <xdr:cNvPr id="106" name="Rectangle 178">
                <a:extLst>
                  <a:ext uri="{FF2B5EF4-FFF2-40B4-BE49-F238E27FC236}">
                    <a16:creationId xmlns:a16="http://schemas.microsoft.com/office/drawing/2014/main" id="{00000000-0008-0000-0000-00006A000000}"/>
                  </a:ext>
                </a:extLst>
              </xdr:cNvPr>
              <xdr:cNvSpPr>
                <a:spLocks noChangeArrowheads="1"/>
              </xdr:cNvSpPr>
            </xdr:nvSpPr>
            <xdr:spPr bwMode="auto">
              <a:xfrm>
                <a:off x="199" y="277"/>
                <a:ext cx="47" cy="15"/>
              </a:xfrm>
              <a:prstGeom prst="rect">
                <a:avLst/>
              </a:prstGeom>
              <a:solidFill>
                <a:srgbClr val="FF0000"/>
              </a:solidFill>
              <a:ln w="9525">
                <a:solidFill>
                  <a:srgbClr val="000000"/>
                </a:solidFill>
                <a:miter lim="800000"/>
                <a:headEnd/>
                <a:tailEnd/>
              </a:ln>
            </xdr:spPr>
          </xdr:sp>
        </xdr:grpSp>
        <xdr:sp macro="" textlink="">
          <xdr:nvSpPr>
            <xdr:cNvPr id="97" name="Rectangle 179">
              <a:extLst>
                <a:ext uri="{FF2B5EF4-FFF2-40B4-BE49-F238E27FC236}">
                  <a16:creationId xmlns:a16="http://schemas.microsoft.com/office/drawing/2014/main" id="{00000000-0008-0000-0000-000061000000}"/>
                </a:ext>
              </a:extLst>
            </xdr:cNvPr>
            <xdr:cNvSpPr>
              <a:spLocks noChangeArrowheads="1"/>
            </xdr:cNvSpPr>
          </xdr:nvSpPr>
          <xdr:spPr bwMode="auto">
            <a:xfrm>
              <a:off x="284" y="780"/>
              <a:ext cx="48" cy="10"/>
            </a:xfrm>
            <a:prstGeom prst="rect">
              <a:avLst/>
            </a:prstGeom>
            <a:solidFill>
              <a:srgbClr val="FF0000"/>
            </a:solidFill>
            <a:ln w="9525">
              <a:solidFill>
                <a:srgbClr val="000000"/>
              </a:solidFill>
              <a:miter lim="800000"/>
              <a:headEnd/>
              <a:tailEnd/>
            </a:ln>
          </xdr:spPr>
        </xdr:sp>
        <xdr:sp macro="" textlink="">
          <xdr:nvSpPr>
            <xdr:cNvPr id="98" name="Rectangle 180">
              <a:extLst>
                <a:ext uri="{FF2B5EF4-FFF2-40B4-BE49-F238E27FC236}">
                  <a16:creationId xmlns:a16="http://schemas.microsoft.com/office/drawing/2014/main" id="{00000000-0008-0000-0000-000062000000}"/>
                </a:ext>
              </a:extLst>
            </xdr:cNvPr>
            <xdr:cNvSpPr>
              <a:spLocks noChangeArrowheads="1"/>
            </xdr:cNvSpPr>
          </xdr:nvSpPr>
          <xdr:spPr bwMode="auto">
            <a:xfrm>
              <a:off x="284" y="789"/>
              <a:ext cx="48" cy="12"/>
            </a:xfrm>
            <a:prstGeom prst="rect">
              <a:avLst/>
            </a:prstGeom>
            <a:solidFill>
              <a:srgbClr val="FF0000"/>
            </a:solidFill>
            <a:ln w="9525">
              <a:solidFill>
                <a:srgbClr val="000000"/>
              </a:solidFill>
              <a:miter lim="800000"/>
              <a:headEnd/>
              <a:tailEnd/>
            </a:ln>
          </xdr:spPr>
        </xdr:sp>
        <xdr:sp macro="" textlink="">
          <xdr:nvSpPr>
            <xdr:cNvPr id="99" name="Rectangle 181">
              <a:extLst>
                <a:ext uri="{FF2B5EF4-FFF2-40B4-BE49-F238E27FC236}">
                  <a16:creationId xmlns:a16="http://schemas.microsoft.com/office/drawing/2014/main" id="{00000000-0008-0000-0000-000063000000}"/>
                </a:ext>
              </a:extLst>
            </xdr:cNvPr>
            <xdr:cNvSpPr>
              <a:spLocks noChangeArrowheads="1"/>
            </xdr:cNvSpPr>
          </xdr:nvSpPr>
          <xdr:spPr bwMode="auto">
            <a:xfrm>
              <a:off x="284" y="801"/>
              <a:ext cx="48" cy="100"/>
            </a:xfrm>
            <a:prstGeom prst="rect">
              <a:avLst/>
            </a:prstGeom>
            <a:solidFill>
              <a:srgbClr val="FF0000"/>
            </a:solidFill>
            <a:ln w="9525">
              <a:solidFill>
                <a:srgbClr val="000000"/>
              </a:solidFill>
              <a:miter lim="800000"/>
              <a:headEnd/>
              <a:tailEnd/>
            </a:ln>
          </xdr:spPr>
        </xdr:sp>
        <xdr:sp macro="" textlink="">
          <xdr:nvSpPr>
            <xdr:cNvPr id="100" name="Rectangle 182">
              <a:extLst>
                <a:ext uri="{FF2B5EF4-FFF2-40B4-BE49-F238E27FC236}">
                  <a16:creationId xmlns:a16="http://schemas.microsoft.com/office/drawing/2014/main" id="{00000000-0008-0000-0000-000064000000}"/>
                </a:ext>
              </a:extLst>
            </xdr:cNvPr>
            <xdr:cNvSpPr>
              <a:spLocks noChangeArrowheads="1"/>
            </xdr:cNvSpPr>
          </xdr:nvSpPr>
          <xdr:spPr bwMode="auto">
            <a:xfrm>
              <a:off x="286" y="780"/>
              <a:ext cx="11" cy="8"/>
            </a:xfrm>
            <a:prstGeom prst="rect">
              <a:avLst/>
            </a:prstGeom>
            <a:solidFill>
              <a:srgbClr val="FF0000"/>
            </a:solidFill>
            <a:ln w="9525">
              <a:solidFill>
                <a:srgbClr val="000000"/>
              </a:solidFill>
              <a:miter lim="800000"/>
              <a:headEnd/>
              <a:tailEnd/>
            </a:ln>
          </xdr:spPr>
        </xdr:sp>
      </xdr:grpSp>
      <xdr:grpSp>
        <xdr:nvGrpSpPr>
          <xdr:cNvPr id="50" name="Group 183">
            <a:extLst>
              <a:ext uri="{FF2B5EF4-FFF2-40B4-BE49-F238E27FC236}">
                <a16:creationId xmlns:a16="http://schemas.microsoft.com/office/drawing/2014/main" id="{00000000-0008-0000-0000-000032000000}"/>
              </a:ext>
            </a:extLst>
          </xdr:cNvPr>
          <xdr:cNvGrpSpPr>
            <a:grpSpLocks/>
          </xdr:cNvGrpSpPr>
        </xdr:nvGrpSpPr>
        <xdr:grpSpPr bwMode="auto">
          <a:xfrm>
            <a:off x="77" y="1071"/>
            <a:ext cx="36" cy="26"/>
            <a:chOff x="77" y="1026"/>
            <a:chExt cx="34" cy="26"/>
          </a:xfrm>
        </xdr:grpSpPr>
        <xdr:sp macro="" textlink="">
          <xdr:nvSpPr>
            <xdr:cNvPr id="51" name="AutoShape 184">
              <a:extLst>
                <a:ext uri="{FF2B5EF4-FFF2-40B4-BE49-F238E27FC236}">
                  <a16:creationId xmlns:a16="http://schemas.microsoft.com/office/drawing/2014/main" id="{00000000-0008-0000-0000-000033000000}"/>
                </a:ext>
              </a:extLst>
            </xdr:cNvPr>
            <xdr:cNvSpPr>
              <a:spLocks noChangeArrowheads="1"/>
            </xdr:cNvSpPr>
          </xdr:nvSpPr>
          <xdr:spPr bwMode="auto">
            <a:xfrm>
              <a:off x="78" y="1034"/>
              <a:ext cx="32" cy="10"/>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375 w 21600"/>
                <a:gd name="T13" fmla="*/ 4320 h 21600"/>
                <a:gd name="T14" fmla="*/ 18225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3677" y="21600"/>
                  </a:lnTo>
                  <a:lnTo>
                    <a:pt x="17923"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52" name="Rectangle 185">
              <a:extLst>
                <a:ext uri="{FF2B5EF4-FFF2-40B4-BE49-F238E27FC236}">
                  <a16:creationId xmlns:a16="http://schemas.microsoft.com/office/drawing/2014/main" id="{00000000-0008-0000-0000-000034000000}"/>
                </a:ext>
              </a:extLst>
            </xdr:cNvPr>
            <xdr:cNvSpPr>
              <a:spLocks noChangeArrowheads="1"/>
            </xdr:cNvSpPr>
          </xdr:nvSpPr>
          <xdr:spPr bwMode="auto">
            <a:xfrm>
              <a:off x="81" y="1042"/>
              <a:ext cx="27" cy="4"/>
            </a:xfrm>
            <a:prstGeom prst="rect">
              <a:avLst/>
            </a:prstGeom>
            <a:solidFill>
              <a:srgbClr val="FF0000"/>
            </a:solidFill>
            <a:ln w="9525">
              <a:solidFill>
                <a:srgbClr val="000000"/>
              </a:solidFill>
              <a:miter lim="800000"/>
              <a:headEnd/>
              <a:tailEnd/>
            </a:ln>
          </xdr:spPr>
        </xdr:sp>
        <xdr:sp macro="" textlink="">
          <xdr:nvSpPr>
            <xdr:cNvPr id="53" name="Rectangle 186">
              <a:extLst>
                <a:ext uri="{FF2B5EF4-FFF2-40B4-BE49-F238E27FC236}">
                  <a16:creationId xmlns:a16="http://schemas.microsoft.com/office/drawing/2014/main" id="{00000000-0008-0000-0000-000035000000}"/>
                </a:ext>
              </a:extLst>
            </xdr:cNvPr>
            <xdr:cNvSpPr>
              <a:spLocks noChangeArrowheads="1"/>
            </xdr:cNvSpPr>
          </xdr:nvSpPr>
          <xdr:spPr bwMode="auto">
            <a:xfrm>
              <a:off x="85" y="1049"/>
              <a:ext cx="20" cy="3"/>
            </a:xfrm>
            <a:prstGeom prst="rect">
              <a:avLst/>
            </a:prstGeom>
            <a:solidFill>
              <a:srgbClr val="FF0000"/>
            </a:solidFill>
            <a:ln w="9525">
              <a:solidFill>
                <a:srgbClr val="000000"/>
              </a:solidFill>
              <a:miter lim="800000"/>
              <a:headEnd/>
              <a:tailEnd/>
            </a:ln>
          </xdr:spPr>
        </xdr:sp>
        <xdr:sp macro="" textlink="">
          <xdr:nvSpPr>
            <xdr:cNvPr id="54" name="Rectangle 187">
              <a:extLst>
                <a:ext uri="{FF2B5EF4-FFF2-40B4-BE49-F238E27FC236}">
                  <a16:creationId xmlns:a16="http://schemas.microsoft.com/office/drawing/2014/main" id="{00000000-0008-0000-0000-000036000000}"/>
                </a:ext>
              </a:extLst>
            </xdr:cNvPr>
            <xdr:cNvSpPr>
              <a:spLocks noChangeArrowheads="1"/>
            </xdr:cNvSpPr>
          </xdr:nvSpPr>
          <xdr:spPr bwMode="auto">
            <a:xfrm>
              <a:off x="81" y="1046"/>
              <a:ext cx="27" cy="3"/>
            </a:xfrm>
            <a:prstGeom prst="rect">
              <a:avLst/>
            </a:prstGeom>
            <a:solidFill>
              <a:srgbClr val="FF0000"/>
            </a:solidFill>
            <a:ln w="9525">
              <a:solidFill>
                <a:srgbClr val="000000"/>
              </a:solidFill>
              <a:miter lim="800000"/>
              <a:headEnd/>
              <a:tailEnd/>
            </a:ln>
          </xdr:spPr>
        </xdr:sp>
        <xdr:sp macro="" textlink="">
          <xdr:nvSpPr>
            <xdr:cNvPr id="55" name="Line 188">
              <a:extLst>
                <a:ext uri="{FF2B5EF4-FFF2-40B4-BE49-F238E27FC236}">
                  <a16:creationId xmlns:a16="http://schemas.microsoft.com/office/drawing/2014/main" id="{00000000-0008-0000-0000-000037000000}"/>
                </a:ext>
              </a:extLst>
            </xdr:cNvPr>
            <xdr:cNvSpPr>
              <a:spLocks noChangeShapeType="1"/>
            </xdr:cNvSpPr>
          </xdr:nvSpPr>
          <xdr:spPr bwMode="auto">
            <a:xfrm>
              <a:off x="85" y="1052"/>
              <a:ext cx="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 name="Rectangle 189">
              <a:extLst>
                <a:ext uri="{FF2B5EF4-FFF2-40B4-BE49-F238E27FC236}">
                  <a16:creationId xmlns:a16="http://schemas.microsoft.com/office/drawing/2014/main" id="{00000000-0008-0000-0000-000038000000}"/>
                </a:ext>
              </a:extLst>
            </xdr:cNvPr>
            <xdr:cNvSpPr>
              <a:spLocks noChangeArrowheads="1"/>
            </xdr:cNvSpPr>
          </xdr:nvSpPr>
          <xdr:spPr bwMode="auto">
            <a:xfrm>
              <a:off x="77" y="1026"/>
              <a:ext cx="34" cy="20"/>
            </a:xfrm>
            <a:prstGeom prst="rect">
              <a:avLst/>
            </a:prstGeom>
            <a:solidFill>
              <a:srgbClr val="FF0000"/>
            </a:solidFill>
            <a:ln w="9525">
              <a:solidFill>
                <a:srgbClr val="000000"/>
              </a:solidFill>
              <a:miter lim="800000"/>
              <a:headEnd/>
              <a:tailEnd/>
            </a:ln>
          </xdr:spPr>
        </xdr:sp>
      </xdr:grpSp>
    </xdr:grpSp>
    <xdr:clientData/>
  </xdr:twoCellAnchor>
  <xdr:twoCellAnchor>
    <xdr:from>
      <xdr:col>1</xdr:col>
      <xdr:colOff>0</xdr:colOff>
      <xdr:row>22</xdr:row>
      <xdr:rowOff>133350</xdr:rowOff>
    </xdr:from>
    <xdr:to>
      <xdr:col>1</xdr:col>
      <xdr:colOff>0</xdr:colOff>
      <xdr:row>40</xdr:row>
      <xdr:rowOff>0</xdr:rowOff>
    </xdr:to>
    <xdr:sp macro="" textlink="">
      <xdr:nvSpPr>
        <xdr:cNvPr id="154" name="Rectangle 190">
          <a:extLst>
            <a:ext uri="{FF2B5EF4-FFF2-40B4-BE49-F238E27FC236}">
              <a16:creationId xmlns:a16="http://schemas.microsoft.com/office/drawing/2014/main" id="{00000000-0008-0000-0000-00009A000000}"/>
            </a:ext>
          </a:extLst>
        </xdr:cNvPr>
        <xdr:cNvSpPr>
          <a:spLocks noChangeArrowheads="1"/>
        </xdr:cNvSpPr>
      </xdr:nvSpPr>
      <xdr:spPr bwMode="auto">
        <a:xfrm>
          <a:off x="1095375" y="4152900"/>
          <a:ext cx="0" cy="3467100"/>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clientData/>
  </xdr:twoCellAnchor>
  <xdr:twoCellAnchor>
    <xdr:from>
      <xdr:col>1</xdr:col>
      <xdr:colOff>0</xdr:colOff>
      <xdr:row>37</xdr:row>
      <xdr:rowOff>28575</xdr:rowOff>
    </xdr:from>
    <xdr:to>
      <xdr:col>1</xdr:col>
      <xdr:colOff>0</xdr:colOff>
      <xdr:row>38</xdr:row>
      <xdr:rowOff>66675</xdr:rowOff>
    </xdr:to>
    <xdr:grpSp>
      <xdr:nvGrpSpPr>
        <xdr:cNvPr id="155" name="Group 191">
          <a:extLst>
            <a:ext uri="{FF2B5EF4-FFF2-40B4-BE49-F238E27FC236}">
              <a16:creationId xmlns:a16="http://schemas.microsoft.com/office/drawing/2014/main" id="{00000000-0008-0000-0000-00009B000000}"/>
            </a:ext>
          </a:extLst>
        </xdr:cNvPr>
        <xdr:cNvGrpSpPr>
          <a:grpSpLocks/>
        </xdr:cNvGrpSpPr>
      </xdr:nvGrpSpPr>
      <xdr:grpSpPr bwMode="auto">
        <a:xfrm>
          <a:off x="1095375" y="7048500"/>
          <a:ext cx="0" cy="238125"/>
          <a:chOff x="210" y="296"/>
          <a:chExt cx="18" cy="10"/>
        </a:xfrm>
      </xdr:grpSpPr>
      <xdr:sp macro="" textlink="">
        <xdr:nvSpPr>
          <xdr:cNvPr id="156" name="Rectangle 192">
            <a:extLst>
              <a:ext uri="{FF2B5EF4-FFF2-40B4-BE49-F238E27FC236}">
                <a16:creationId xmlns:a16="http://schemas.microsoft.com/office/drawing/2014/main" id="{00000000-0008-0000-0000-00009C000000}"/>
              </a:ext>
            </a:extLst>
          </xdr:cNvPr>
          <xdr:cNvSpPr>
            <a:spLocks noChangeArrowheads="1"/>
          </xdr:cNvSpPr>
        </xdr:nvSpPr>
        <xdr:spPr bwMode="auto">
          <a:xfrm>
            <a:off x="210" y="296"/>
            <a:ext cx="18" cy="10"/>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grpSp>
        <xdr:nvGrpSpPr>
          <xdr:cNvPr id="157" name="Group 193">
            <a:extLst>
              <a:ext uri="{FF2B5EF4-FFF2-40B4-BE49-F238E27FC236}">
                <a16:creationId xmlns:a16="http://schemas.microsoft.com/office/drawing/2014/main" id="{00000000-0008-0000-0000-00009D000000}"/>
              </a:ext>
            </a:extLst>
          </xdr:cNvPr>
          <xdr:cNvGrpSpPr>
            <a:grpSpLocks/>
          </xdr:cNvGrpSpPr>
        </xdr:nvGrpSpPr>
        <xdr:grpSpPr bwMode="auto">
          <a:xfrm>
            <a:off x="215" y="299"/>
            <a:ext cx="7" cy="5"/>
            <a:chOff x="215" y="299"/>
            <a:chExt cx="7" cy="5"/>
          </a:xfrm>
        </xdr:grpSpPr>
        <xdr:sp macro="" textlink="">
          <xdr:nvSpPr>
            <xdr:cNvPr id="160" name="Rectangle 194">
              <a:extLst>
                <a:ext uri="{FF2B5EF4-FFF2-40B4-BE49-F238E27FC236}">
                  <a16:creationId xmlns:a16="http://schemas.microsoft.com/office/drawing/2014/main" id="{00000000-0008-0000-0000-0000A0000000}"/>
                </a:ext>
              </a:extLst>
            </xdr:cNvPr>
            <xdr:cNvSpPr>
              <a:spLocks noChangeArrowheads="1"/>
            </xdr:cNvSpPr>
          </xdr:nvSpPr>
          <xdr:spPr bwMode="auto">
            <a:xfrm>
              <a:off x="218" y="299"/>
              <a:ext cx="1" cy="5"/>
            </a:xfrm>
            <a:prstGeom prst="rect">
              <a:avLst/>
            </a:prstGeom>
            <a:noFill/>
            <a:ln w="1">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1" name="Rectangle 195">
              <a:extLst>
                <a:ext uri="{FF2B5EF4-FFF2-40B4-BE49-F238E27FC236}">
                  <a16:creationId xmlns:a16="http://schemas.microsoft.com/office/drawing/2014/main" id="{00000000-0008-0000-0000-0000A1000000}"/>
                </a:ext>
              </a:extLst>
            </xdr:cNvPr>
            <xdr:cNvSpPr>
              <a:spLocks noChangeArrowheads="1"/>
            </xdr:cNvSpPr>
          </xdr:nvSpPr>
          <xdr:spPr bwMode="auto">
            <a:xfrm>
              <a:off x="215" y="299"/>
              <a:ext cx="1" cy="5"/>
            </a:xfrm>
            <a:prstGeom prst="rect">
              <a:avLst/>
            </a:prstGeom>
            <a:noFill/>
            <a:ln w="1">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2" name="Rectangle 196">
              <a:extLst>
                <a:ext uri="{FF2B5EF4-FFF2-40B4-BE49-F238E27FC236}">
                  <a16:creationId xmlns:a16="http://schemas.microsoft.com/office/drawing/2014/main" id="{00000000-0008-0000-0000-0000A2000000}"/>
                </a:ext>
              </a:extLst>
            </xdr:cNvPr>
            <xdr:cNvSpPr>
              <a:spLocks noChangeArrowheads="1"/>
            </xdr:cNvSpPr>
          </xdr:nvSpPr>
          <xdr:spPr bwMode="auto">
            <a:xfrm>
              <a:off x="221" y="299"/>
              <a:ext cx="1" cy="5"/>
            </a:xfrm>
            <a:prstGeom prst="rect">
              <a:avLst/>
            </a:prstGeom>
            <a:noFill/>
            <a:ln w="1">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58" name="Line 197">
            <a:extLst>
              <a:ext uri="{FF2B5EF4-FFF2-40B4-BE49-F238E27FC236}">
                <a16:creationId xmlns:a16="http://schemas.microsoft.com/office/drawing/2014/main" id="{00000000-0008-0000-0000-00009E000000}"/>
              </a:ext>
            </a:extLst>
          </xdr:cNvPr>
          <xdr:cNvSpPr>
            <a:spLocks noChangeShapeType="1"/>
          </xdr:cNvSpPr>
        </xdr:nvSpPr>
        <xdr:spPr bwMode="auto">
          <a:xfrm flipH="1">
            <a:off x="210" y="299"/>
            <a:ext cx="4"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9" name="Line 198">
            <a:extLst>
              <a:ext uri="{FF2B5EF4-FFF2-40B4-BE49-F238E27FC236}">
                <a16:creationId xmlns:a16="http://schemas.microsoft.com/office/drawing/2014/main" id="{00000000-0008-0000-0000-00009F000000}"/>
              </a:ext>
            </a:extLst>
          </xdr:cNvPr>
          <xdr:cNvSpPr>
            <a:spLocks noChangeShapeType="1"/>
          </xdr:cNvSpPr>
        </xdr:nvSpPr>
        <xdr:spPr bwMode="auto">
          <a:xfrm flipH="1">
            <a:off x="224" y="299"/>
            <a:ext cx="4"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0</xdr:colOff>
      <xdr:row>21</xdr:row>
      <xdr:rowOff>9525</xdr:rowOff>
    </xdr:from>
    <xdr:to>
      <xdr:col>1</xdr:col>
      <xdr:colOff>0</xdr:colOff>
      <xdr:row>21</xdr:row>
      <xdr:rowOff>57150</xdr:rowOff>
    </xdr:to>
    <xdr:sp macro="" textlink="">
      <xdr:nvSpPr>
        <xdr:cNvPr id="163" name="Rectangle 199">
          <a:extLst>
            <a:ext uri="{FF2B5EF4-FFF2-40B4-BE49-F238E27FC236}">
              <a16:creationId xmlns:a16="http://schemas.microsoft.com/office/drawing/2014/main" id="{00000000-0008-0000-0000-0000A3000000}"/>
            </a:ext>
          </a:extLst>
        </xdr:cNvPr>
        <xdr:cNvSpPr>
          <a:spLocks noChangeArrowheads="1"/>
        </xdr:cNvSpPr>
      </xdr:nvSpPr>
      <xdr:spPr bwMode="auto">
        <a:xfrm>
          <a:off x="1095375" y="3829050"/>
          <a:ext cx="0" cy="47625"/>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21</xdr:row>
      <xdr:rowOff>76200</xdr:rowOff>
    </xdr:from>
    <xdr:to>
      <xdr:col>1</xdr:col>
      <xdr:colOff>0</xdr:colOff>
      <xdr:row>21</xdr:row>
      <xdr:rowOff>95250</xdr:rowOff>
    </xdr:to>
    <xdr:grpSp>
      <xdr:nvGrpSpPr>
        <xdr:cNvPr id="164" name="Group 200">
          <a:extLst>
            <a:ext uri="{FF2B5EF4-FFF2-40B4-BE49-F238E27FC236}">
              <a16:creationId xmlns:a16="http://schemas.microsoft.com/office/drawing/2014/main" id="{00000000-0008-0000-0000-0000A4000000}"/>
            </a:ext>
          </a:extLst>
        </xdr:cNvPr>
        <xdr:cNvGrpSpPr>
          <a:grpSpLocks/>
        </xdr:cNvGrpSpPr>
      </xdr:nvGrpSpPr>
      <xdr:grpSpPr bwMode="auto">
        <a:xfrm>
          <a:off x="1095375" y="3895725"/>
          <a:ext cx="0" cy="19050"/>
          <a:chOff x="72" y="277"/>
          <a:chExt cx="75" cy="2"/>
        </a:xfrm>
      </xdr:grpSpPr>
      <xdr:sp macro="" textlink="">
        <xdr:nvSpPr>
          <xdr:cNvPr id="165" name="Oval 201">
            <a:extLst>
              <a:ext uri="{FF2B5EF4-FFF2-40B4-BE49-F238E27FC236}">
                <a16:creationId xmlns:a16="http://schemas.microsoft.com/office/drawing/2014/main" id="{00000000-0008-0000-0000-0000A5000000}"/>
              </a:ext>
            </a:extLst>
          </xdr:cNvPr>
          <xdr:cNvSpPr>
            <a:spLocks noChangeArrowheads="1"/>
          </xdr:cNvSpPr>
        </xdr:nvSpPr>
        <xdr:spPr bwMode="auto">
          <a:xfrm flipV="1">
            <a:off x="72" y="277"/>
            <a:ext cx="2" cy="2"/>
          </a:xfrm>
          <a:prstGeom prst="ellipse">
            <a:avLst/>
          </a:prstGeom>
          <a:gradFill rotWithShape="0">
            <a:gsLst>
              <a:gs pos="0">
                <a:srgbClr val="767676"/>
              </a:gs>
              <a:gs pos="50000">
                <a:srgbClr val="FFFFFF"/>
              </a:gs>
              <a:gs pos="100000">
                <a:srgbClr val="767676"/>
              </a:gs>
            </a:gsLst>
            <a:lin ang="0" scaled="1"/>
          </a:gradFill>
          <a:ln w="9525">
            <a:solidFill>
              <a:srgbClr val="000000"/>
            </a:solidFill>
            <a:round/>
            <a:headEnd/>
            <a:tailEnd/>
          </a:ln>
        </xdr:spPr>
      </xdr:sp>
      <xdr:sp macro="" textlink="">
        <xdr:nvSpPr>
          <xdr:cNvPr id="166" name="Oval 202">
            <a:extLst>
              <a:ext uri="{FF2B5EF4-FFF2-40B4-BE49-F238E27FC236}">
                <a16:creationId xmlns:a16="http://schemas.microsoft.com/office/drawing/2014/main" id="{00000000-0008-0000-0000-0000A6000000}"/>
              </a:ext>
            </a:extLst>
          </xdr:cNvPr>
          <xdr:cNvSpPr>
            <a:spLocks noChangeArrowheads="1"/>
          </xdr:cNvSpPr>
        </xdr:nvSpPr>
        <xdr:spPr bwMode="auto">
          <a:xfrm flipV="1">
            <a:off x="88" y="277"/>
            <a:ext cx="2" cy="2"/>
          </a:xfrm>
          <a:prstGeom prst="ellipse">
            <a:avLst/>
          </a:prstGeom>
          <a:gradFill rotWithShape="0">
            <a:gsLst>
              <a:gs pos="0">
                <a:srgbClr val="767676"/>
              </a:gs>
              <a:gs pos="50000">
                <a:srgbClr val="FFFFFF"/>
              </a:gs>
              <a:gs pos="100000">
                <a:srgbClr val="767676"/>
              </a:gs>
            </a:gsLst>
            <a:lin ang="0" scaled="1"/>
          </a:gradFill>
          <a:ln w="9525">
            <a:solidFill>
              <a:srgbClr val="000000"/>
            </a:solidFill>
            <a:round/>
            <a:headEnd/>
            <a:tailEnd/>
          </a:ln>
        </xdr:spPr>
      </xdr:sp>
      <xdr:sp macro="" textlink="">
        <xdr:nvSpPr>
          <xdr:cNvPr id="167" name="Oval 203">
            <a:extLst>
              <a:ext uri="{FF2B5EF4-FFF2-40B4-BE49-F238E27FC236}">
                <a16:creationId xmlns:a16="http://schemas.microsoft.com/office/drawing/2014/main" id="{00000000-0008-0000-0000-0000A7000000}"/>
              </a:ext>
            </a:extLst>
          </xdr:cNvPr>
          <xdr:cNvSpPr>
            <a:spLocks noChangeArrowheads="1"/>
          </xdr:cNvSpPr>
        </xdr:nvSpPr>
        <xdr:spPr bwMode="auto">
          <a:xfrm flipV="1">
            <a:off x="108" y="277"/>
            <a:ext cx="2" cy="2"/>
          </a:xfrm>
          <a:prstGeom prst="ellipse">
            <a:avLst/>
          </a:prstGeom>
          <a:gradFill rotWithShape="0">
            <a:gsLst>
              <a:gs pos="0">
                <a:srgbClr val="767676"/>
              </a:gs>
              <a:gs pos="50000">
                <a:srgbClr val="FFFFFF"/>
              </a:gs>
              <a:gs pos="100000">
                <a:srgbClr val="767676"/>
              </a:gs>
            </a:gsLst>
            <a:lin ang="0" scaled="1"/>
          </a:gradFill>
          <a:ln w="9525">
            <a:solidFill>
              <a:srgbClr val="000000"/>
            </a:solidFill>
            <a:round/>
            <a:headEnd/>
            <a:tailEnd/>
          </a:ln>
        </xdr:spPr>
      </xdr:sp>
      <xdr:sp macro="" textlink="">
        <xdr:nvSpPr>
          <xdr:cNvPr id="168" name="Oval 204">
            <a:extLst>
              <a:ext uri="{FF2B5EF4-FFF2-40B4-BE49-F238E27FC236}">
                <a16:creationId xmlns:a16="http://schemas.microsoft.com/office/drawing/2014/main" id="{00000000-0008-0000-0000-0000A8000000}"/>
              </a:ext>
            </a:extLst>
          </xdr:cNvPr>
          <xdr:cNvSpPr>
            <a:spLocks noChangeArrowheads="1"/>
          </xdr:cNvSpPr>
        </xdr:nvSpPr>
        <xdr:spPr bwMode="auto">
          <a:xfrm flipV="1">
            <a:off x="128" y="277"/>
            <a:ext cx="2" cy="2"/>
          </a:xfrm>
          <a:prstGeom prst="ellipse">
            <a:avLst/>
          </a:prstGeom>
          <a:gradFill rotWithShape="0">
            <a:gsLst>
              <a:gs pos="0">
                <a:srgbClr val="767676"/>
              </a:gs>
              <a:gs pos="50000">
                <a:srgbClr val="FFFFFF"/>
              </a:gs>
              <a:gs pos="100000">
                <a:srgbClr val="767676"/>
              </a:gs>
            </a:gsLst>
            <a:lin ang="0" scaled="1"/>
          </a:gradFill>
          <a:ln w="9525">
            <a:solidFill>
              <a:srgbClr val="000000"/>
            </a:solidFill>
            <a:round/>
            <a:headEnd/>
            <a:tailEnd/>
          </a:ln>
        </xdr:spPr>
      </xdr:sp>
      <xdr:sp macro="" textlink="">
        <xdr:nvSpPr>
          <xdr:cNvPr id="169" name="Oval 205">
            <a:extLst>
              <a:ext uri="{FF2B5EF4-FFF2-40B4-BE49-F238E27FC236}">
                <a16:creationId xmlns:a16="http://schemas.microsoft.com/office/drawing/2014/main" id="{00000000-0008-0000-0000-0000A9000000}"/>
              </a:ext>
            </a:extLst>
          </xdr:cNvPr>
          <xdr:cNvSpPr>
            <a:spLocks noChangeArrowheads="1"/>
          </xdr:cNvSpPr>
        </xdr:nvSpPr>
        <xdr:spPr bwMode="auto">
          <a:xfrm flipV="1">
            <a:off x="145" y="277"/>
            <a:ext cx="2" cy="2"/>
          </a:xfrm>
          <a:prstGeom prst="ellipse">
            <a:avLst/>
          </a:prstGeom>
          <a:gradFill rotWithShape="0">
            <a:gsLst>
              <a:gs pos="0">
                <a:srgbClr val="767676"/>
              </a:gs>
              <a:gs pos="50000">
                <a:srgbClr val="FFFFFF"/>
              </a:gs>
              <a:gs pos="100000">
                <a:srgbClr val="767676"/>
              </a:gs>
            </a:gsLst>
            <a:lin ang="0" scaled="1"/>
          </a:gradFill>
          <a:ln w="9525">
            <a:solidFill>
              <a:srgbClr val="000000"/>
            </a:solidFill>
            <a:round/>
            <a:headEnd/>
            <a:tailEnd/>
          </a:ln>
        </xdr:spPr>
      </xdr:sp>
    </xdr:grpSp>
    <xdr:clientData/>
  </xdr:twoCellAnchor>
  <xdr:twoCellAnchor>
    <xdr:from>
      <xdr:col>1</xdr:col>
      <xdr:colOff>0</xdr:colOff>
      <xdr:row>22</xdr:row>
      <xdr:rowOff>66675</xdr:rowOff>
    </xdr:from>
    <xdr:to>
      <xdr:col>1</xdr:col>
      <xdr:colOff>0</xdr:colOff>
      <xdr:row>22</xdr:row>
      <xdr:rowOff>95250</xdr:rowOff>
    </xdr:to>
    <xdr:sp macro="" textlink="">
      <xdr:nvSpPr>
        <xdr:cNvPr id="170" name="Rectangle 206">
          <a:extLst>
            <a:ext uri="{FF2B5EF4-FFF2-40B4-BE49-F238E27FC236}">
              <a16:creationId xmlns:a16="http://schemas.microsoft.com/office/drawing/2014/main" id="{00000000-0008-0000-0000-0000AA000000}"/>
            </a:ext>
          </a:extLst>
        </xdr:cNvPr>
        <xdr:cNvSpPr>
          <a:spLocks noChangeArrowheads="1"/>
        </xdr:cNvSpPr>
      </xdr:nvSpPr>
      <xdr:spPr bwMode="auto">
        <a:xfrm>
          <a:off x="1095375" y="4086225"/>
          <a:ext cx="0" cy="28575"/>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22</xdr:row>
      <xdr:rowOff>95250</xdr:rowOff>
    </xdr:from>
    <xdr:to>
      <xdr:col>1</xdr:col>
      <xdr:colOff>0</xdr:colOff>
      <xdr:row>22</xdr:row>
      <xdr:rowOff>133350</xdr:rowOff>
    </xdr:to>
    <xdr:sp macro="" textlink="">
      <xdr:nvSpPr>
        <xdr:cNvPr id="171" name="Rectangle 207">
          <a:extLst>
            <a:ext uri="{FF2B5EF4-FFF2-40B4-BE49-F238E27FC236}">
              <a16:creationId xmlns:a16="http://schemas.microsoft.com/office/drawing/2014/main" id="{00000000-0008-0000-0000-0000AB000000}"/>
            </a:ext>
          </a:extLst>
        </xdr:cNvPr>
        <xdr:cNvSpPr>
          <a:spLocks noChangeArrowheads="1"/>
        </xdr:cNvSpPr>
      </xdr:nvSpPr>
      <xdr:spPr bwMode="auto">
        <a:xfrm>
          <a:off x="1095375" y="4114800"/>
          <a:ext cx="0" cy="38100"/>
        </a:xfrm>
        <a:prstGeom prst="rect">
          <a:avLst/>
        </a:prstGeom>
        <a:solidFill>
          <a:srgbClr val="FFFF00"/>
        </a:solidFill>
        <a:ln w="9525">
          <a:solidFill>
            <a:srgbClr val="000000"/>
          </a:solidFill>
          <a:miter lim="800000"/>
          <a:headEnd/>
          <a:tailEnd/>
        </a:ln>
      </xdr:spPr>
    </xdr:sp>
    <xdr:clientData/>
  </xdr:twoCellAnchor>
  <xdr:twoCellAnchor>
    <xdr:from>
      <xdr:col>1</xdr:col>
      <xdr:colOff>0</xdr:colOff>
      <xdr:row>25</xdr:row>
      <xdr:rowOff>95250</xdr:rowOff>
    </xdr:from>
    <xdr:to>
      <xdr:col>1</xdr:col>
      <xdr:colOff>0</xdr:colOff>
      <xdr:row>25</xdr:row>
      <xdr:rowOff>95250</xdr:rowOff>
    </xdr:to>
    <xdr:sp macro="" textlink="">
      <xdr:nvSpPr>
        <xdr:cNvPr id="172" name="Line 208">
          <a:extLst>
            <a:ext uri="{FF2B5EF4-FFF2-40B4-BE49-F238E27FC236}">
              <a16:creationId xmlns:a16="http://schemas.microsoft.com/office/drawing/2014/main" id="{00000000-0008-0000-0000-0000AC000000}"/>
            </a:ext>
          </a:extLst>
        </xdr:cNvPr>
        <xdr:cNvSpPr>
          <a:spLocks noChangeShapeType="1"/>
        </xdr:cNvSpPr>
      </xdr:nvSpPr>
      <xdr:spPr bwMode="auto">
        <a:xfrm>
          <a:off x="1095375" y="4714875"/>
          <a:ext cx="0" cy="0"/>
        </a:xfrm>
        <a:prstGeom prst="line">
          <a:avLst/>
        </a:prstGeom>
        <a:noFill/>
        <a:ln w="571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xdr:row>
      <xdr:rowOff>95250</xdr:rowOff>
    </xdr:from>
    <xdr:to>
      <xdr:col>1</xdr:col>
      <xdr:colOff>0</xdr:colOff>
      <xdr:row>25</xdr:row>
      <xdr:rowOff>95250</xdr:rowOff>
    </xdr:to>
    <xdr:sp macro="" textlink="">
      <xdr:nvSpPr>
        <xdr:cNvPr id="173" name="Line 209">
          <a:extLst>
            <a:ext uri="{FF2B5EF4-FFF2-40B4-BE49-F238E27FC236}">
              <a16:creationId xmlns:a16="http://schemas.microsoft.com/office/drawing/2014/main" id="{00000000-0008-0000-0000-0000AD000000}"/>
            </a:ext>
          </a:extLst>
        </xdr:cNvPr>
        <xdr:cNvSpPr>
          <a:spLocks noChangeShapeType="1"/>
        </xdr:cNvSpPr>
      </xdr:nvSpPr>
      <xdr:spPr bwMode="auto">
        <a:xfrm>
          <a:off x="1095375" y="4714875"/>
          <a:ext cx="0" cy="0"/>
        </a:xfrm>
        <a:prstGeom prst="line">
          <a:avLst/>
        </a:prstGeom>
        <a:noFill/>
        <a:ln w="571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39</xdr:row>
      <xdr:rowOff>190500</xdr:rowOff>
    </xdr:from>
    <xdr:to>
      <xdr:col>1</xdr:col>
      <xdr:colOff>0</xdr:colOff>
      <xdr:row>50</xdr:row>
      <xdr:rowOff>104775</xdr:rowOff>
    </xdr:to>
    <xdr:sp macro="" textlink="">
      <xdr:nvSpPr>
        <xdr:cNvPr id="174" name="Freeform 210" descr="Dark horizontal">
          <a:extLst>
            <a:ext uri="{FF2B5EF4-FFF2-40B4-BE49-F238E27FC236}">
              <a16:creationId xmlns:a16="http://schemas.microsoft.com/office/drawing/2014/main" id="{00000000-0008-0000-0000-0000AE000000}"/>
            </a:ext>
          </a:extLst>
        </xdr:cNvPr>
        <xdr:cNvSpPr>
          <a:spLocks/>
        </xdr:cNvSpPr>
      </xdr:nvSpPr>
      <xdr:spPr bwMode="auto">
        <a:xfrm>
          <a:off x="1095375" y="7610475"/>
          <a:ext cx="0" cy="2114550"/>
        </a:xfrm>
        <a:custGeom>
          <a:avLst/>
          <a:gdLst>
            <a:gd name="T0" fmla="*/ 0 w 12"/>
            <a:gd name="T1" fmla="*/ 2147483646 h 222"/>
            <a:gd name="T2" fmla="*/ 0 w 12"/>
            <a:gd name="T3" fmla="*/ 2147483646 h 222"/>
            <a:gd name="T4" fmla="*/ 0 w 12"/>
            <a:gd name="T5" fmla="*/ 2147483646 h 222"/>
            <a:gd name="T6" fmla="*/ 0 w 12"/>
            <a:gd name="T7" fmla="*/ 2147483646 h 222"/>
            <a:gd name="T8" fmla="*/ 0 w 12"/>
            <a:gd name="T9" fmla="*/ 2147483646 h 222"/>
            <a:gd name="T10" fmla="*/ 0 w 12"/>
            <a:gd name="T11" fmla="*/ 2147483646 h 222"/>
            <a:gd name="T12" fmla="*/ 0 w 12"/>
            <a:gd name="T13" fmla="*/ 0 h 222"/>
            <a:gd name="T14" fmla="*/ 0 60000 65536"/>
            <a:gd name="T15" fmla="*/ 0 60000 65536"/>
            <a:gd name="T16" fmla="*/ 0 60000 65536"/>
            <a:gd name="T17" fmla="*/ 0 60000 65536"/>
            <a:gd name="T18" fmla="*/ 0 60000 65536"/>
            <a:gd name="T19" fmla="*/ 0 60000 65536"/>
            <a:gd name="T20" fmla="*/ 0 60000 65536"/>
            <a:gd name="T21" fmla="*/ 0 w 12"/>
            <a:gd name="T22" fmla="*/ 0 h 222"/>
            <a:gd name="T23" fmla="*/ 0 w 12"/>
            <a:gd name="T24" fmla="*/ 222 h 222"/>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2" h="222">
              <a:moveTo>
                <a:pt x="4" y="1"/>
              </a:moveTo>
              <a:lnTo>
                <a:pt x="4" y="204"/>
              </a:lnTo>
              <a:lnTo>
                <a:pt x="12" y="222"/>
              </a:lnTo>
              <a:lnTo>
                <a:pt x="8" y="221"/>
              </a:lnTo>
              <a:lnTo>
                <a:pt x="0" y="207"/>
              </a:lnTo>
              <a:lnTo>
                <a:pt x="0" y="1"/>
              </a:lnTo>
              <a:lnTo>
                <a:pt x="2" y="0"/>
              </a:lnTo>
            </a:path>
          </a:pathLst>
        </a:custGeom>
        <a:blipFill dpi="0" rotWithShape="0">
          <a:blip xmlns:r="http://schemas.openxmlformats.org/officeDocument/2006/relationships" r:embed="rId2"/>
          <a:srcRect/>
          <a:tile tx="0" ty="0" sx="100000" sy="100000" flip="none" algn="tl"/>
        </a:blipFill>
        <a:ln w="9525">
          <a:solidFill>
            <a:srgbClr val="000000"/>
          </a:solidFill>
          <a:round/>
          <a:headEnd/>
          <a:tailEnd/>
        </a:ln>
      </xdr:spPr>
    </xdr:sp>
    <xdr:clientData/>
  </xdr:twoCellAnchor>
  <xdr:twoCellAnchor>
    <xdr:from>
      <xdr:col>1</xdr:col>
      <xdr:colOff>0</xdr:colOff>
      <xdr:row>22</xdr:row>
      <xdr:rowOff>133350</xdr:rowOff>
    </xdr:from>
    <xdr:to>
      <xdr:col>1</xdr:col>
      <xdr:colOff>0</xdr:colOff>
      <xdr:row>23</xdr:row>
      <xdr:rowOff>0</xdr:rowOff>
    </xdr:to>
    <xdr:sp macro="" textlink="">
      <xdr:nvSpPr>
        <xdr:cNvPr id="175" name="Rectangle 211">
          <a:extLst>
            <a:ext uri="{FF2B5EF4-FFF2-40B4-BE49-F238E27FC236}">
              <a16:creationId xmlns:a16="http://schemas.microsoft.com/office/drawing/2014/main" id="{00000000-0008-0000-0000-0000AF000000}"/>
            </a:ext>
          </a:extLst>
        </xdr:cNvPr>
        <xdr:cNvSpPr>
          <a:spLocks noChangeArrowheads="1"/>
        </xdr:cNvSpPr>
      </xdr:nvSpPr>
      <xdr:spPr bwMode="auto">
        <a:xfrm>
          <a:off x="1095375" y="4152900"/>
          <a:ext cx="0" cy="66675"/>
        </a:xfrm>
        <a:prstGeom prst="rect">
          <a:avLst/>
        </a:prstGeom>
        <a:solidFill>
          <a:srgbClr val="000000"/>
        </a:solidFill>
        <a:ln w="9525">
          <a:solidFill>
            <a:srgbClr val="000000"/>
          </a:solidFill>
          <a:miter lim="800000"/>
          <a:headEnd/>
          <a:tailEnd/>
        </a:ln>
      </xdr:spPr>
    </xdr:sp>
    <xdr:clientData/>
  </xdr:twoCellAnchor>
  <xdr:twoCellAnchor>
    <xdr:from>
      <xdr:col>1</xdr:col>
      <xdr:colOff>0</xdr:colOff>
      <xdr:row>15</xdr:row>
      <xdr:rowOff>57150</xdr:rowOff>
    </xdr:from>
    <xdr:to>
      <xdr:col>1</xdr:col>
      <xdr:colOff>0</xdr:colOff>
      <xdr:row>16</xdr:row>
      <xdr:rowOff>76200</xdr:rowOff>
    </xdr:to>
    <xdr:sp macro="" textlink="">
      <xdr:nvSpPr>
        <xdr:cNvPr id="176" name="Rectangle 212">
          <a:extLst>
            <a:ext uri="{FF2B5EF4-FFF2-40B4-BE49-F238E27FC236}">
              <a16:creationId xmlns:a16="http://schemas.microsoft.com/office/drawing/2014/main" id="{00000000-0008-0000-0000-0000B0000000}"/>
            </a:ext>
          </a:extLst>
        </xdr:cNvPr>
        <xdr:cNvSpPr>
          <a:spLocks noChangeArrowheads="1"/>
        </xdr:cNvSpPr>
      </xdr:nvSpPr>
      <xdr:spPr bwMode="auto">
        <a:xfrm>
          <a:off x="1095375" y="2714625"/>
          <a:ext cx="0" cy="180975"/>
        </a:xfrm>
        <a:prstGeom prst="rect">
          <a:avLst/>
        </a:prstGeom>
        <a:solidFill>
          <a:srgbClr val="FF0000"/>
        </a:solidFill>
        <a:ln w="9525">
          <a:solidFill>
            <a:srgbClr val="000000"/>
          </a:solidFill>
          <a:miter lim="800000"/>
          <a:headEnd/>
          <a:tailEnd/>
        </a:ln>
      </xdr:spPr>
    </xdr:sp>
    <xdr:clientData/>
  </xdr:twoCellAnchor>
  <xdr:twoCellAnchor>
    <xdr:from>
      <xdr:col>1</xdr:col>
      <xdr:colOff>0</xdr:colOff>
      <xdr:row>15</xdr:row>
      <xdr:rowOff>114300</xdr:rowOff>
    </xdr:from>
    <xdr:to>
      <xdr:col>1</xdr:col>
      <xdr:colOff>0</xdr:colOff>
      <xdr:row>15</xdr:row>
      <xdr:rowOff>114300</xdr:rowOff>
    </xdr:to>
    <xdr:sp macro="" textlink="">
      <xdr:nvSpPr>
        <xdr:cNvPr id="177" name="Line 213">
          <a:extLst>
            <a:ext uri="{FF2B5EF4-FFF2-40B4-BE49-F238E27FC236}">
              <a16:creationId xmlns:a16="http://schemas.microsoft.com/office/drawing/2014/main" id="{00000000-0008-0000-0000-0000B1000000}"/>
            </a:ext>
          </a:extLst>
        </xdr:cNvPr>
        <xdr:cNvSpPr>
          <a:spLocks noChangeShapeType="1"/>
        </xdr:cNvSpPr>
      </xdr:nvSpPr>
      <xdr:spPr bwMode="auto">
        <a:xfrm>
          <a:off x="1095375" y="2771775"/>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xdr:row>
      <xdr:rowOff>9525</xdr:rowOff>
    </xdr:from>
    <xdr:to>
      <xdr:col>1</xdr:col>
      <xdr:colOff>0</xdr:colOff>
      <xdr:row>16</xdr:row>
      <xdr:rowOff>9525</xdr:rowOff>
    </xdr:to>
    <xdr:sp macro="" textlink="">
      <xdr:nvSpPr>
        <xdr:cNvPr id="178" name="Line 214">
          <a:extLst>
            <a:ext uri="{FF2B5EF4-FFF2-40B4-BE49-F238E27FC236}">
              <a16:creationId xmlns:a16="http://schemas.microsoft.com/office/drawing/2014/main" id="{00000000-0008-0000-0000-0000B2000000}"/>
            </a:ext>
          </a:extLst>
        </xdr:cNvPr>
        <xdr:cNvSpPr>
          <a:spLocks noChangeShapeType="1"/>
        </xdr:cNvSpPr>
      </xdr:nvSpPr>
      <xdr:spPr bwMode="auto">
        <a:xfrm>
          <a:off x="1095375" y="2828925"/>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xdr:row>
      <xdr:rowOff>66675</xdr:rowOff>
    </xdr:from>
    <xdr:to>
      <xdr:col>1</xdr:col>
      <xdr:colOff>0</xdr:colOff>
      <xdr:row>16</xdr:row>
      <xdr:rowOff>76200</xdr:rowOff>
    </xdr:to>
    <xdr:sp macro="" textlink="">
      <xdr:nvSpPr>
        <xdr:cNvPr id="179" name="AutoShape 215">
          <a:extLst>
            <a:ext uri="{FF2B5EF4-FFF2-40B4-BE49-F238E27FC236}">
              <a16:creationId xmlns:a16="http://schemas.microsoft.com/office/drawing/2014/main" id="{00000000-0008-0000-0000-0000B3000000}"/>
            </a:ext>
          </a:extLst>
        </xdr:cNvPr>
        <xdr:cNvSpPr>
          <a:spLocks noChangeArrowheads="1"/>
        </xdr:cNvSpPr>
      </xdr:nvSpPr>
      <xdr:spPr bwMode="auto">
        <a:xfrm flipV="1">
          <a:off x="1095375" y="2562225"/>
          <a:ext cx="0" cy="333375"/>
        </a:xfrm>
        <a:prstGeom prst="flowChartOffpageConnector">
          <a:avLst/>
        </a:prstGeom>
        <a:solidFill>
          <a:srgbClr val="000000"/>
        </a:solidFill>
        <a:ln w="9525">
          <a:solidFill>
            <a:srgbClr val="000000"/>
          </a:solidFill>
          <a:miter lim="800000"/>
          <a:headEnd/>
          <a:tailEnd/>
        </a:ln>
      </xdr:spPr>
    </xdr:sp>
    <xdr:clientData/>
  </xdr:twoCellAnchor>
  <xdr:twoCellAnchor>
    <xdr:from>
      <xdr:col>1</xdr:col>
      <xdr:colOff>0</xdr:colOff>
      <xdr:row>8</xdr:row>
      <xdr:rowOff>19050</xdr:rowOff>
    </xdr:from>
    <xdr:to>
      <xdr:col>1</xdr:col>
      <xdr:colOff>0</xdr:colOff>
      <xdr:row>8</xdr:row>
      <xdr:rowOff>57150</xdr:rowOff>
    </xdr:to>
    <xdr:sp macro="" textlink="">
      <xdr:nvSpPr>
        <xdr:cNvPr id="180" name="Rectangle 216">
          <a:extLst>
            <a:ext uri="{FF2B5EF4-FFF2-40B4-BE49-F238E27FC236}">
              <a16:creationId xmlns:a16="http://schemas.microsoft.com/office/drawing/2014/main" id="{00000000-0008-0000-0000-0000B4000000}"/>
            </a:ext>
          </a:extLst>
        </xdr:cNvPr>
        <xdr:cNvSpPr>
          <a:spLocks noChangeArrowheads="1"/>
        </xdr:cNvSpPr>
      </xdr:nvSpPr>
      <xdr:spPr bwMode="auto">
        <a:xfrm>
          <a:off x="1095375" y="1428750"/>
          <a:ext cx="0" cy="38100"/>
        </a:xfrm>
        <a:prstGeom prst="rect">
          <a:avLst/>
        </a:prstGeom>
        <a:solidFill>
          <a:srgbClr val="FFFFFF"/>
        </a:solidFill>
        <a:ln w="9525">
          <a:solidFill>
            <a:srgbClr val="000000"/>
          </a:solidFill>
          <a:miter lim="800000"/>
          <a:headEnd/>
          <a:tailEnd/>
        </a:ln>
      </xdr:spPr>
    </xdr:sp>
    <xdr:clientData/>
  </xdr:twoCellAnchor>
  <xdr:twoCellAnchor>
    <xdr:from>
      <xdr:col>1</xdr:col>
      <xdr:colOff>0</xdr:colOff>
      <xdr:row>11</xdr:row>
      <xdr:rowOff>57150</xdr:rowOff>
    </xdr:from>
    <xdr:to>
      <xdr:col>1</xdr:col>
      <xdr:colOff>0</xdr:colOff>
      <xdr:row>11</xdr:row>
      <xdr:rowOff>57150</xdr:rowOff>
    </xdr:to>
    <xdr:sp macro="" textlink="">
      <xdr:nvSpPr>
        <xdr:cNvPr id="181" name="Line 217">
          <a:extLst>
            <a:ext uri="{FF2B5EF4-FFF2-40B4-BE49-F238E27FC236}">
              <a16:creationId xmlns:a16="http://schemas.microsoft.com/office/drawing/2014/main" id="{00000000-0008-0000-0000-0000B5000000}"/>
            </a:ext>
          </a:extLst>
        </xdr:cNvPr>
        <xdr:cNvSpPr>
          <a:spLocks noChangeShapeType="1"/>
        </xdr:cNvSpPr>
      </xdr:nvSpPr>
      <xdr:spPr bwMode="auto">
        <a:xfrm>
          <a:off x="1095375" y="1981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xdr:row>
      <xdr:rowOff>104775</xdr:rowOff>
    </xdr:from>
    <xdr:to>
      <xdr:col>1</xdr:col>
      <xdr:colOff>0</xdr:colOff>
      <xdr:row>11</xdr:row>
      <xdr:rowOff>104775</xdr:rowOff>
    </xdr:to>
    <xdr:sp macro="" textlink="">
      <xdr:nvSpPr>
        <xdr:cNvPr id="182" name="Line 218">
          <a:extLst>
            <a:ext uri="{FF2B5EF4-FFF2-40B4-BE49-F238E27FC236}">
              <a16:creationId xmlns:a16="http://schemas.microsoft.com/office/drawing/2014/main" id="{00000000-0008-0000-0000-0000B6000000}"/>
            </a:ext>
          </a:extLst>
        </xdr:cNvPr>
        <xdr:cNvSpPr>
          <a:spLocks noChangeShapeType="1"/>
        </xdr:cNvSpPr>
      </xdr:nvSpPr>
      <xdr:spPr bwMode="auto">
        <a:xfrm>
          <a:off x="1095375" y="2028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xdr:row>
      <xdr:rowOff>104775</xdr:rowOff>
    </xdr:from>
    <xdr:to>
      <xdr:col>1</xdr:col>
      <xdr:colOff>0</xdr:colOff>
      <xdr:row>14</xdr:row>
      <xdr:rowOff>123825</xdr:rowOff>
    </xdr:to>
    <xdr:sp macro="" textlink="">
      <xdr:nvSpPr>
        <xdr:cNvPr id="183" name="Line 219">
          <a:extLst>
            <a:ext uri="{FF2B5EF4-FFF2-40B4-BE49-F238E27FC236}">
              <a16:creationId xmlns:a16="http://schemas.microsoft.com/office/drawing/2014/main" id="{00000000-0008-0000-0000-0000B7000000}"/>
            </a:ext>
          </a:extLst>
        </xdr:cNvPr>
        <xdr:cNvSpPr>
          <a:spLocks noChangeShapeType="1"/>
        </xdr:cNvSpPr>
      </xdr:nvSpPr>
      <xdr:spPr bwMode="auto">
        <a:xfrm>
          <a:off x="1095375" y="2028825"/>
          <a:ext cx="0"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4</xdr:row>
      <xdr:rowOff>47625</xdr:rowOff>
    </xdr:from>
    <xdr:to>
      <xdr:col>9</xdr:col>
      <xdr:colOff>190500</xdr:colOff>
      <xdr:row>4</xdr:row>
      <xdr:rowOff>123825</xdr:rowOff>
    </xdr:to>
    <xdr:sp macro="" textlink="">
      <xdr:nvSpPr>
        <xdr:cNvPr id="184" name="Rectangle 220">
          <a:extLst>
            <a:ext uri="{FF2B5EF4-FFF2-40B4-BE49-F238E27FC236}">
              <a16:creationId xmlns:a16="http://schemas.microsoft.com/office/drawing/2014/main" id="{00000000-0008-0000-0000-0000B8000000}"/>
            </a:ext>
          </a:extLst>
        </xdr:cNvPr>
        <xdr:cNvSpPr>
          <a:spLocks noChangeArrowheads="1"/>
        </xdr:cNvSpPr>
      </xdr:nvSpPr>
      <xdr:spPr bwMode="auto">
        <a:xfrm>
          <a:off x="7105650" y="819150"/>
          <a:ext cx="133350" cy="76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57150</xdr:colOff>
      <xdr:row>5</xdr:row>
      <xdr:rowOff>47625</xdr:rowOff>
    </xdr:from>
    <xdr:to>
      <xdr:col>9</xdr:col>
      <xdr:colOff>190500</xdr:colOff>
      <xdr:row>5</xdr:row>
      <xdr:rowOff>123825</xdr:rowOff>
    </xdr:to>
    <xdr:sp macro="" textlink="">
      <xdr:nvSpPr>
        <xdr:cNvPr id="185" name="Rectangle 221">
          <a:extLst>
            <a:ext uri="{FF2B5EF4-FFF2-40B4-BE49-F238E27FC236}">
              <a16:creationId xmlns:a16="http://schemas.microsoft.com/office/drawing/2014/main" id="{00000000-0008-0000-0000-0000B9000000}"/>
            </a:ext>
          </a:extLst>
        </xdr:cNvPr>
        <xdr:cNvSpPr>
          <a:spLocks noChangeArrowheads="1"/>
        </xdr:cNvSpPr>
      </xdr:nvSpPr>
      <xdr:spPr bwMode="auto">
        <a:xfrm>
          <a:off x="7105650" y="971550"/>
          <a:ext cx="133350" cy="76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57150</xdr:colOff>
      <xdr:row>6</xdr:row>
      <xdr:rowOff>47625</xdr:rowOff>
    </xdr:from>
    <xdr:to>
      <xdr:col>9</xdr:col>
      <xdr:colOff>190500</xdr:colOff>
      <xdr:row>6</xdr:row>
      <xdr:rowOff>123825</xdr:rowOff>
    </xdr:to>
    <xdr:sp macro="" textlink="">
      <xdr:nvSpPr>
        <xdr:cNvPr id="186" name="Rectangle 222">
          <a:extLst>
            <a:ext uri="{FF2B5EF4-FFF2-40B4-BE49-F238E27FC236}">
              <a16:creationId xmlns:a16="http://schemas.microsoft.com/office/drawing/2014/main" id="{00000000-0008-0000-0000-0000BA000000}"/>
            </a:ext>
          </a:extLst>
        </xdr:cNvPr>
        <xdr:cNvSpPr>
          <a:spLocks noChangeArrowheads="1"/>
        </xdr:cNvSpPr>
      </xdr:nvSpPr>
      <xdr:spPr bwMode="auto">
        <a:xfrm>
          <a:off x="7105650" y="1123950"/>
          <a:ext cx="133350" cy="76200"/>
        </a:xfrm>
        <a:prstGeom prst="rect">
          <a:avLst/>
        </a:prstGeom>
        <a:solidFill>
          <a:srgbClr val="FF0000"/>
        </a:solidFill>
        <a:ln w="9525">
          <a:solidFill>
            <a:srgbClr val="000000"/>
          </a:solidFill>
          <a:miter lim="800000"/>
          <a:headEnd/>
          <a:tailEnd/>
        </a:ln>
      </xdr:spPr>
    </xdr:sp>
    <xdr:clientData/>
  </xdr:twoCellAnchor>
  <xdr:twoCellAnchor>
    <xdr:from>
      <xdr:col>0</xdr:col>
      <xdr:colOff>104775</xdr:colOff>
      <xdr:row>4</xdr:row>
      <xdr:rowOff>114300</xdr:rowOff>
    </xdr:from>
    <xdr:to>
      <xdr:col>0</xdr:col>
      <xdr:colOff>104775</xdr:colOff>
      <xdr:row>6</xdr:row>
      <xdr:rowOff>57150</xdr:rowOff>
    </xdr:to>
    <xdr:sp macro="" textlink="">
      <xdr:nvSpPr>
        <xdr:cNvPr id="187" name="Line 223">
          <a:extLst>
            <a:ext uri="{FF2B5EF4-FFF2-40B4-BE49-F238E27FC236}">
              <a16:creationId xmlns:a16="http://schemas.microsoft.com/office/drawing/2014/main" id="{00000000-0008-0000-0000-0000BB000000}"/>
            </a:ext>
          </a:extLst>
        </xdr:cNvPr>
        <xdr:cNvSpPr>
          <a:spLocks noChangeShapeType="1"/>
        </xdr:cNvSpPr>
      </xdr:nvSpPr>
      <xdr:spPr bwMode="auto">
        <a:xfrm>
          <a:off x="104775" y="885825"/>
          <a:ext cx="0" cy="247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133350</xdr:colOff>
      <xdr:row>5</xdr:row>
      <xdr:rowOff>0</xdr:rowOff>
    </xdr:from>
    <xdr:ext cx="185179" cy="155748"/>
    <xdr:sp macro="" textlink="">
      <xdr:nvSpPr>
        <xdr:cNvPr id="188" name="Text Box 224">
          <a:extLst>
            <a:ext uri="{FF2B5EF4-FFF2-40B4-BE49-F238E27FC236}">
              <a16:creationId xmlns:a16="http://schemas.microsoft.com/office/drawing/2014/main" id="{00000000-0008-0000-0000-0000BC000000}"/>
            </a:ext>
          </a:extLst>
        </xdr:cNvPr>
        <xdr:cNvSpPr txBox="1">
          <a:spLocks noChangeArrowheads="1"/>
        </xdr:cNvSpPr>
      </xdr:nvSpPr>
      <xdr:spPr bwMode="auto">
        <a:xfrm>
          <a:off x="133350" y="923925"/>
          <a:ext cx="185179" cy="15574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900" b="1" i="0" strike="noStrike">
              <a:solidFill>
                <a:srgbClr val="000000"/>
              </a:solidFill>
              <a:latin typeface="Arial"/>
              <a:cs typeface="Arial"/>
            </a:rPr>
            <a:t>KB</a:t>
          </a:r>
        </a:p>
      </xdr:txBody>
    </xdr:sp>
    <xdr:clientData/>
  </xdr:oneCellAnchor>
  <xdr:twoCellAnchor>
    <xdr:from>
      <xdr:col>0</xdr:col>
      <xdr:colOff>295275</xdr:colOff>
      <xdr:row>22</xdr:row>
      <xdr:rowOff>161925</xdr:rowOff>
    </xdr:from>
    <xdr:to>
      <xdr:col>0</xdr:col>
      <xdr:colOff>390525</xdr:colOff>
      <xdr:row>39</xdr:row>
      <xdr:rowOff>76200</xdr:rowOff>
    </xdr:to>
    <xdr:sp macro="" textlink="">
      <xdr:nvSpPr>
        <xdr:cNvPr id="189" name="Freeform 225" descr="Sphere">
          <a:extLst>
            <a:ext uri="{FF2B5EF4-FFF2-40B4-BE49-F238E27FC236}">
              <a16:creationId xmlns:a16="http://schemas.microsoft.com/office/drawing/2014/main" id="{00000000-0008-0000-0000-0000BD000000}"/>
            </a:ext>
          </a:extLst>
        </xdr:cNvPr>
        <xdr:cNvSpPr>
          <a:spLocks/>
        </xdr:cNvSpPr>
      </xdr:nvSpPr>
      <xdr:spPr bwMode="auto">
        <a:xfrm>
          <a:off x="295275" y="4181475"/>
          <a:ext cx="95250" cy="3314700"/>
        </a:xfrm>
        <a:custGeom>
          <a:avLst/>
          <a:gdLst>
            <a:gd name="T0" fmla="*/ 2147483646 w 11"/>
            <a:gd name="T1" fmla="*/ 0 h 399"/>
            <a:gd name="T2" fmla="*/ 2147483646 w 11"/>
            <a:gd name="T3" fmla="*/ 2147483646 h 399"/>
            <a:gd name="T4" fmla="*/ 2147483646 w 11"/>
            <a:gd name="T5" fmla="*/ 2147483646 h 399"/>
            <a:gd name="T6" fmla="*/ 2147483646 w 11"/>
            <a:gd name="T7" fmla="*/ 2147483646 h 399"/>
            <a:gd name="T8" fmla="*/ 0 w 11"/>
            <a:gd name="T9" fmla="*/ 2147483646 h 399"/>
            <a:gd name="T10" fmla="*/ 2147483646 w 11"/>
            <a:gd name="T11" fmla="*/ 2147483646 h 399"/>
            <a:gd name="T12" fmla="*/ 2147483646 w 11"/>
            <a:gd name="T13" fmla="*/ 2147483646 h 399"/>
            <a:gd name="T14" fmla="*/ 2147483646 w 11"/>
            <a:gd name="T15" fmla="*/ 2147483646 h 399"/>
            <a:gd name="T16" fmla="*/ 0 60000 65536"/>
            <a:gd name="T17" fmla="*/ 0 60000 65536"/>
            <a:gd name="T18" fmla="*/ 0 60000 65536"/>
            <a:gd name="T19" fmla="*/ 0 60000 65536"/>
            <a:gd name="T20" fmla="*/ 0 60000 65536"/>
            <a:gd name="T21" fmla="*/ 0 60000 65536"/>
            <a:gd name="T22" fmla="*/ 0 60000 65536"/>
            <a:gd name="T23" fmla="*/ 0 60000 65536"/>
            <a:gd name="T24" fmla="*/ 0 w 11"/>
            <a:gd name="T25" fmla="*/ 0 h 399"/>
            <a:gd name="T26" fmla="*/ 11 w 11"/>
            <a:gd name="T27" fmla="*/ 399 h 39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1" h="399">
              <a:moveTo>
                <a:pt x="9" y="0"/>
              </a:moveTo>
              <a:lnTo>
                <a:pt x="11" y="11"/>
              </a:lnTo>
              <a:lnTo>
                <a:pt x="11" y="392"/>
              </a:lnTo>
              <a:lnTo>
                <a:pt x="4" y="399"/>
              </a:lnTo>
              <a:lnTo>
                <a:pt x="0" y="398"/>
              </a:lnTo>
              <a:lnTo>
                <a:pt x="6" y="392"/>
              </a:lnTo>
              <a:lnTo>
                <a:pt x="6" y="12"/>
              </a:lnTo>
              <a:lnTo>
                <a:pt x="3" y="1"/>
              </a:lnTo>
            </a:path>
          </a:pathLst>
        </a:custGeom>
        <a:blipFill dpi="0" rotWithShape="0">
          <a:blip xmlns:r="http://schemas.openxmlformats.org/officeDocument/2006/relationships" r:embed="rId1"/>
          <a:srcRect/>
          <a:tile tx="0" ty="0" sx="100000" sy="100000" flip="none" algn="tl"/>
        </a:blipFill>
        <a:ln w="9525">
          <a:solidFill>
            <a:srgbClr val="000000"/>
          </a:solidFill>
          <a:round/>
          <a:headEnd/>
          <a:tailEnd/>
        </a:ln>
      </xdr:spPr>
    </xdr:sp>
    <xdr:clientData/>
  </xdr:twoCellAnchor>
  <xdr:twoCellAnchor>
    <xdr:from>
      <xdr:col>0</xdr:col>
      <xdr:colOff>57150</xdr:colOff>
      <xdr:row>6</xdr:row>
      <xdr:rowOff>161925</xdr:rowOff>
    </xdr:from>
    <xdr:to>
      <xdr:col>0</xdr:col>
      <xdr:colOff>971550</xdr:colOff>
      <xdr:row>8</xdr:row>
      <xdr:rowOff>152400</xdr:rowOff>
    </xdr:to>
    <xdr:grpSp>
      <xdr:nvGrpSpPr>
        <xdr:cNvPr id="190" name="Group 226">
          <a:extLst>
            <a:ext uri="{FF2B5EF4-FFF2-40B4-BE49-F238E27FC236}">
              <a16:creationId xmlns:a16="http://schemas.microsoft.com/office/drawing/2014/main" id="{00000000-0008-0000-0000-0000BE000000}"/>
            </a:ext>
          </a:extLst>
        </xdr:cNvPr>
        <xdr:cNvGrpSpPr>
          <a:grpSpLocks/>
        </xdr:cNvGrpSpPr>
      </xdr:nvGrpSpPr>
      <xdr:grpSpPr bwMode="auto">
        <a:xfrm>
          <a:off x="57150" y="1238250"/>
          <a:ext cx="914400" cy="323850"/>
          <a:chOff x="64" y="88"/>
          <a:chExt cx="100" cy="22"/>
        </a:xfrm>
      </xdr:grpSpPr>
      <xdr:sp macro="" textlink="">
        <xdr:nvSpPr>
          <xdr:cNvPr id="191" name="Rectangle 227">
            <a:extLst>
              <a:ext uri="{FF2B5EF4-FFF2-40B4-BE49-F238E27FC236}">
                <a16:creationId xmlns:a16="http://schemas.microsoft.com/office/drawing/2014/main" id="{00000000-0008-0000-0000-0000BF000000}"/>
              </a:ext>
            </a:extLst>
          </xdr:cNvPr>
          <xdr:cNvSpPr>
            <a:spLocks noChangeArrowheads="1"/>
          </xdr:cNvSpPr>
        </xdr:nvSpPr>
        <xdr:spPr bwMode="auto">
          <a:xfrm>
            <a:off x="66" y="88"/>
            <a:ext cx="96" cy="12"/>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grpSp>
        <xdr:nvGrpSpPr>
          <xdr:cNvPr id="192" name="Group 228">
            <a:extLst>
              <a:ext uri="{FF2B5EF4-FFF2-40B4-BE49-F238E27FC236}">
                <a16:creationId xmlns:a16="http://schemas.microsoft.com/office/drawing/2014/main" id="{00000000-0008-0000-0000-0000C0000000}"/>
              </a:ext>
            </a:extLst>
          </xdr:cNvPr>
          <xdr:cNvGrpSpPr>
            <a:grpSpLocks/>
          </xdr:cNvGrpSpPr>
        </xdr:nvGrpSpPr>
        <xdr:grpSpPr bwMode="auto">
          <a:xfrm>
            <a:off x="64" y="100"/>
            <a:ext cx="100" cy="10"/>
            <a:chOff x="75" y="101"/>
            <a:chExt cx="57" cy="8"/>
          </a:xfrm>
        </xdr:grpSpPr>
        <xdr:sp macro="" textlink="">
          <xdr:nvSpPr>
            <xdr:cNvPr id="193" name="Rectangle 229">
              <a:extLst>
                <a:ext uri="{FF2B5EF4-FFF2-40B4-BE49-F238E27FC236}">
                  <a16:creationId xmlns:a16="http://schemas.microsoft.com/office/drawing/2014/main" id="{00000000-0008-0000-0000-0000C1000000}"/>
                </a:ext>
              </a:extLst>
            </xdr:cNvPr>
            <xdr:cNvSpPr>
              <a:spLocks noChangeArrowheads="1"/>
            </xdr:cNvSpPr>
          </xdr:nvSpPr>
          <xdr:spPr bwMode="auto">
            <a:xfrm>
              <a:off x="75" y="101"/>
              <a:ext cx="57" cy="8"/>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sp macro="" textlink="">
          <xdr:nvSpPr>
            <xdr:cNvPr id="194" name="Line 230">
              <a:extLst>
                <a:ext uri="{FF2B5EF4-FFF2-40B4-BE49-F238E27FC236}">
                  <a16:creationId xmlns:a16="http://schemas.microsoft.com/office/drawing/2014/main" id="{00000000-0008-0000-0000-0000C2000000}"/>
                </a:ext>
              </a:extLst>
            </xdr:cNvPr>
            <xdr:cNvSpPr>
              <a:spLocks noChangeShapeType="1"/>
            </xdr:cNvSpPr>
          </xdr:nvSpPr>
          <xdr:spPr bwMode="auto">
            <a:xfrm>
              <a:off x="75" y="105"/>
              <a:ext cx="57"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0</xdr:col>
      <xdr:colOff>409575</xdr:colOff>
      <xdr:row>22</xdr:row>
      <xdr:rowOff>114300</xdr:rowOff>
    </xdr:from>
    <xdr:to>
      <xdr:col>0</xdr:col>
      <xdr:colOff>647700</xdr:colOff>
      <xdr:row>39</xdr:row>
      <xdr:rowOff>57150</xdr:rowOff>
    </xdr:to>
    <xdr:sp macro="" textlink="">
      <xdr:nvSpPr>
        <xdr:cNvPr id="195" name="Rectangle 231">
          <a:extLst>
            <a:ext uri="{FF2B5EF4-FFF2-40B4-BE49-F238E27FC236}">
              <a16:creationId xmlns:a16="http://schemas.microsoft.com/office/drawing/2014/main" id="{00000000-0008-0000-0000-0000C3000000}"/>
            </a:ext>
          </a:extLst>
        </xdr:cNvPr>
        <xdr:cNvSpPr>
          <a:spLocks noChangeArrowheads="1"/>
        </xdr:cNvSpPr>
      </xdr:nvSpPr>
      <xdr:spPr bwMode="auto">
        <a:xfrm>
          <a:off x="409575" y="4133850"/>
          <a:ext cx="238125" cy="3343275"/>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clientData/>
  </xdr:twoCellAnchor>
  <xdr:twoCellAnchor>
    <xdr:from>
      <xdr:col>0</xdr:col>
      <xdr:colOff>409575</xdr:colOff>
      <xdr:row>14</xdr:row>
      <xdr:rowOff>28575</xdr:rowOff>
    </xdr:from>
    <xdr:to>
      <xdr:col>0</xdr:col>
      <xdr:colOff>647700</xdr:colOff>
      <xdr:row>15</xdr:row>
      <xdr:rowOff>133350</xdr:rowOff>
    </xdr:to>
    <xdr:sp macro="" textlink="">
      <xdr:nvSpPr>
        <xdr:cNvPr id="196" name="Rectangle 232">
          <a:extLst>
            <a:ext uri="{FF2B5EF4-FFF2-40B4-BE49-F238E27FC236}">
              <a16:creationId xmlns:a16="http://schemas.microsoft.com/office/drawing/2014/main" id="{00000000-0008-0000-0000-0000C4000000}"/>
            </a:ext>
          </a:extLst>
        </xdr:cNvPr>
        <xdr:cNvSpPr>
          <a:spLocks noChangeArrowheads="1"/>
        </xdr:cNvSpPr>
      </xdr:nvSpPr>
      <xdr:spPr bwMode="auto">
        <a:xfrm>
          <a:off x="409575" y="2524125"/>
          <a:ext cx="238125" cy="266700"/>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clientData/>
  </xdr:twoCellAnchor>
  <xdr:twoCellAnchor>
    <xdr:from>
      <xdr:col>0</xdr:col>
      <xdr:colOff>285750</xdr:colOff>
      <xdr:row>22</xdr:row>
      <xdr:rowOff>114300</xdr:rowOff>
    </xdr:from>
    <xdr:to>
      <xdr:col>0</xdr:col>
      <xdr:colOff>390525</xdr:colOff>
      <xdr:row>23</xdr:row>
      <xdr:rowOff>0</xdr:rowOff>
    </xdr:to>
    <xdr:sp macro="" textlink="">
      <xdr:nvSpPr>
        <xdr:cNvPr id="197" name="Rectangle 234">
          <a:extLst>
            <a:ext uri="{FF2B5EF4-FFF2-40B4-BE49-F238E27FC236}">
              <a16:creationId xmlns:a16="http://schemas.microsoft.com/office/drawing/2014/main" id="{00000000-0008-0000-0000-0000C5000000}"/>
            </a:ext>
          </a:extLst>
        </xdr:cNvPr>
        <xdr:cNvSpPr>
          <a:spLocks noChangeArrowheads="1"/>
        </xdr:cNvSpPr>
      </xdr:nvSpPr>
      <xdr:spPr bwMode="auto">
        <a:xfrm>
          <a:off x="285750" y="4133850"/>
          <a:ext cx="104775" cy="857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14</xdr:row>
      <xdr:rowOff>19050</xdr:rowOff>
    </xdr:from>
    <xdr:to>
      <xdr:col>0</xdr:col>
      <xdr:colOff>390525</xdr:colOff>
      <xdr:row>15</xdr:row>
      <xdr:rowOff>123825</xdr:rowOff>
    </xdr:to>
    <xdr:sp macro="" textlink="">
      <xdr:nvSpPr>
        <xdr:cNvPr id="198" name="Rectangle 235">
          <a:extLst>
            <a:ext uri="{FF2B5EF4-FFF2-40B4-BE49-F238E27FC236}">
              <a16:creationId xmlns:a16="http://schemas.microsoft.com/office/drawing/2014/main" id="{00000000-0008-0000-0000-0000C6000000}"/>
            </a:ext>
          </a:extLst>
        </xdr:cNvPr>
        <xdr:cNvSpPr>
          <a:spLocks noChangeArrowheads="1"/>
        </xdr:cNvSpPr>
      </xdr:nvSpPr>
      <xdr:spPr bwMode="auto">
        <a:xfrm>
          <a:off x="285750" y="2514600"/>
          <a:ext cx="104775" cy="266700"/>
        </a:xfrm>
        <a:prstGeom prst="rect">
          <a:avLst/>
        </a:prstGeom>
        <a:gradFill rotWithShape="0">
          <a:gsLst>
            <a:gs pos="0">
              <a:srgbClr val="C10000"/>
            </a:gs>
            <a:gs pos="50000">
              <a:srgbClr val="FF0000"/>
            </a:gs>
            <a:gs pos="100000">
              <a:srgbClr val="C10000"/>
            </a:gs>
          </a:gsLst>
          <a:lin ang="0" scaled="1"/>
        </a:gradFill>
        <a:ln w="9525">
          <a:solidFill>
            <a:srgbClr val="000000"/>
          </a:solidFill>
          <a:miter lim="800000"/>
          <a:headEnd/>
          <a:tailEnd/>
        </a:ln>
      </xdr:spPr>
    </xdr:sp>
    <xdr:clientData/>
  </xdr:twoCellAnchor>
  <xdr:twoCellAnchor>
    <xdr:from>
      <xdr:col>0</xdr:col>
      <xdr:colOff>295275</xdr:colOff>
      <xdr:row>8</xdr:row>
      <xdr:rowOff>142875</xdr:rowOff>
    </xdr:from>
    <xdr:to>
      <xdr:col>0</xdr:col>
      <xdr:colOff>361950</xdr:colOff>
      <xdr:row>9</xdr:row>
      <xdr:rowOff>28575</xdr:rowOff>
    </xdr:to>
    <xdr:sp macro="" textlink="">
      <xdr:nvSpPr>
        <xdr:cNvPr id="199" name="Rectangle 236">
          <a:extLst>
            <a:ext uri="{FF2B5EF4-FFF2-40B4-BE49-F238E27FC236}">
              <a16:creationId xmlns:a16="http://schemas.microsoft.com/office/drawing/2014/main" id="{00000000-0008-0000-0000-0000C7000000}"/>
            </a:ext>
          </a:extLst>
        </xdr:cNvPr>
        <xdr:cNvSpPr>
          <a:spLocks noChangeArrowheads="1"/>
        </xdr:cNvSpPr>
      </xdr:nvSpPr>
      <xdr:spPr bwMode="auto">
        <a:xfrm>
          <a:off x="295275" y="1552575"/>
          <a:ext cx="66675" cy="47625"/>
        </a:xfrm>
        <a:prstGeom prst="rect">
          <a:avLst/>
        </a:prstGeom>
        <a:solidFill>
          <a:srgbClr val="FFFFFF"/>
        </a:solidFill>
        <a:ln w="9525">
          <a:solidFill>
            <a:srgbClr val="000000"/>
          </a:solidFill>
          <a:miter lim="800000"/>
          <a:headEnd/>
          <a:tailEnd/>
        </a:ln>
      </xdr:spPr>
    </xdr:sp>
    <xdr:clientData/>
  </xdr:twoCellAnchor>
  <xdr:twoCellAnchor>
    <xdr:from>
      <xdr:col>0</xdr:col>
      <xdr:colOff>295275</xdr:colOff>
      <xdr:row>6</xdr:row>
      <xdr:rowOff>114300</xdr:rowOff>
    </xdr:from>
    <xdr:to>
      <xdr:col>0</xdr:col>
      <xdr:colOff>361950</xdr:colOff>
      <xdr:row>6</xdr:row>
      <xdr:rowOff>152400</xdr:rowOff>
    </xdr:to>
    <xdr:sp macro="" textlink="">
      <xdr:nvSpPr>
        <xdr:cNvPr id="200" name="Rectangle 237">
          <a:extLst>
            <a:ext uri="{FF2B5EF4-FFF2-40B4-BE49-F238E27FC236}">
              <a16:creationId xmlns:a16="http://schemas.microsoft.com/office/drawing/2014/main" id="{00000000-0008-0000-0000-0000C8000000}"/>
            </a:ext>
          </a:extLst>
        </xdr:cNvPr>
        <xdr:cNvSpPr>
          <a:spLocks noChangeArrowheads="1"/>
        </xdr:cNvSpPr>
      </xdr:nvSpPr>
      <xdr:spPr bwMode="auto">
        <a:xfrm>
          <a:off x="295275" y="1190625"/>
          <a:ext cx="66675" cy="38100"/>
        </a:xfrm>
        <a:prstGeom prst="rect">
          <a:avLst/>
        </a:prstGeom>
        <a:solidFill>
          <a:srgbClr val="FFFFFF"/>
        </a:solidFill>
        <a:ln w="9525">
          <a:solidFill>
            <a:srgbClr val="000000"/>
          </a:solidFill>
          <a:miter lim="800000"/>
          <a:headEnd/>
          <a:tailEnd/>
        </a:ln>
      </xdr:spPr>
    </xdr:sp>
    <xdr:clientData/>
  </xdr:twoCellAnchor>
  <xdr:twoCellAnchor>
    <xdr:from>
      <xdr:col>0</xdr:col>
      <xdr:colOff>285750</xdr:colOff>
      <xdr:row>14</xdr:row>
      <xdr:rowOff>76200</xdr:rowOff>
    </xdr:from>
    <xdr:to>
      <xdr:col>0</xdr:col>
      <xdr:colOff>390525</xdr:colOff>
      <xdr:row>14</xdr:row>
      <xdr:rowOff>76200</xdr:rowOff>
    </xdr:to>
    <xdr:sp macro="" textlink="">
      <xdr:nvSpPr>
        <xdr:cNvPr id="201" name="Line 238">
          <a:extLst>
            <a:ext uri="{FF2B5EF4-FFF2-40B4-BE49-F238E27FC236}">
              <a16:creationId xmlns:a16="http://schemas.microsoft.com/office/drawing/2014/main" id="{00000000-0008-0000-0000-0000C9000000}"/>
            </a:ext>
          </a:extLst>
        </xdr:cNvPr>
        <xdr:cNvSpPr>
          <a:spLocks noChangeShapeType="1"/>
        </xdr:cNvSpPr>
      </xdr:nvSpPr>
      <xdr:spPr bwMode="auto">
        <a:xfrm>
          <a:off x="285750" y="2571750"/>
          <a:ext cx="1047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285750</xdr:colOff>
      <xdr:row>14</xdr:row>
      <xdr:rowOff>123825</xdr:rowOff>
    </xdr:from>
    <xdr:to>
      <xdr:col>0</xdr:col>
      <xdr:colOff>390525</xdr:colOff>
      <xdr:row>14</xdr:row>
      <xdr:rowOff>123825</xdr:rowOff>
    </xdr:to>
    <xdr:sp macro="" textlink="">
      <xdr:nvSpPr>
        <xdr:cNvPr id="202" name="Line 239">
          <a:extLst>
            <a:ext uri="{FF2B5EF4-FFF2-40B4-BE49-F238E27FC236}">
              <a16:creationId xmlns:a16="http://schemas.microsoft.com/office/drawing/2014/main" id="{00000000-0008-0000-0000-0000CA000000}"/>
            </a:ext>
          </a:extLst>
        </xdr:cNvPr>
        <xdr:cNvSpPr>
          <a:spLocks noChangeShapeType="1"/>
        </xdr:cNvSpPr>
      </xdr:nvSpPr>
      <xdr:spPr bwMode="auto">
        <a:xfrm>
          <a:off x="285750" y="2619375"/>
          <a:ext cx="1047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276225</xdr:colOff>
      <xdr:row>9</xdr:row>
      <xdr:rowOff>28575</xdr:rowOff>
    </xdr:from>
    <xdr:to>
      <xdr:col>0</xdr:col>
      <xdr:colOff>390525</xdr:colOff>
      <xdr:row>12</xdr:row>
      <xdr:rowOff>133350</xdr:rowOff>
    </xdr:to>
    <xdr:sp macro="" textlink="">
      <xdr:nvSpPr>
        <xdr:cNvPr id="203" name="Freeform 240" descr="Sphere">
          <a:extLst>
            <a:ext uri="{FF2B5EF4-FFF2-40B4-BE49-F238E27FC236}">
              <a16:creationId xmlns:a16="http://schemas.microsoft.com/office/drawing/2014/main" id="{00000000-0008-0000-0000-0000CB000000}"/>
            </a:ext>
          </a:extLst>
        </xdr:cNvPr>
        <xdr:cNvSpPr>
          <a:spLocks/>
        </xdr:cNvSpPr>
      </xdr:nvSpPr>
      <xdr:spPr bwMode="auto">
        <a:xfrm>
          <a:off x="276225" y="1600200"/>
          <a:ext cx="114300" cy="647700"/>
        </a:xfrm>
        <a:custGeom>
          <a:avLst/>
          <a:gdLst>
            <a:gd name="T0" fmla="*/ 2147483646 w 8"/>
            <a:gd name="T1" fmla="*/ 0 h 105"/>
            <a:gd name="T2" fmla="*/ 2147483646 w 8"/>
            <a:gd name="T3" fmla="*/ 2147483646 h 105"/>
            <a:gd name="T4" fmla="*/ 2147483646 w 8"/>
            <a:gd name="T5" fmla="*/ 2147483646 h 105"/>
            <a:gd name="T6" fmla="*/ 2147483646 w 8"/>
            <a:gd name="T7" fmla="*/ 2147483646 h 105"/>
            <a:gd name="T8" fmla="*/ 0 w 8"/>
            <a:gd name="T9" fmla="*/ 2147483646 h 105"/>
            <a:gd name="T10" fmla="*/ 2147483646 w 8"/>
            <a:gd name="T11" fmla="*/ 2147483646 h 105"/>
            <a:gd name="T12" fmla="*/ 2147483646 w 8"/>
            <a:gd name="T13" fmla="*/ 2147483646 h 105"/>
            <a:gd name="T14" fmla="*/ 0 w 8"/>
            <a:gd name="T15" fmla="*/ 0 h 105"/>
            <a:gd name="T16" fmla="*/ 0 60000 65536"/>
            <a:gd name="T17" fmla="*/ 0 60000 65536"/>
            <a:gd name="T18" fmla="*/ 0 60000 65536"/>
            <a:gd name="T19" fmla="*/ 0 60000 65536"/>
            <a:gd name="T20" fmla="*/ 0 60000 65536"/>
            <a:gd name="T21" fmla="*/ 0 60000 65536"/>
            <a:gd name="T22" fmla="*/ 0 60000 65536"/>
            <a:gd name="T23" fmla="*/ 0 60000 65536"/>
            <a:gd name="T24" fmla="*/ 0 w 8"/>
            <a:gd name="T25" fmla="*/ 0 h 105"/>
            <a:gd name="T26" fmla="*/ 8 w 8"/>
            <a:gd name="T27" fmla="*/ 105 h 10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 h="105">
              <a:moveTo>
                <a:pt x="4" y="0"/>
              </a:moveTo>
              <a:lnTo>
                <a:pt x="8" y="5"/>
              </a:lnTo>
              <a:lnTo>
                <a:pt x="8" y="100"/>
              </a:lnTo>
              <a:lnTo>
                <a:pt x="5" y="104"/>
              </a:lnTo>
              <a:lnTo>
                <a:pt x="0" y="105"/>
              </a:lnTo>
              <a:lnTo>
                <a:pt x="6" y="98"/>
              </a:lnTo>
              <a:lnTo>
                <a:pt x="6" y="6"/>
              </a:lnTo>
              <a:lnTo>
                <a:pt x="0" y="0"/>
              </a:lnTo>
            </a:path>
          </a:pathLst>
        </a:custGeom>
        <a:blipFill dpi="0" rotWithShape="0">
          <a:blip xmlns:r="http://schemas.openxmlformats.org/officeDocument/2006/relationships" r:embed="rId1"/>
          <a:srcRect/>
          <a:tile tx="0" ty="0" sx="100000" sy="100000" flip="none" algn="tl"/>
        </a:blipFill>
        <a:ln w="9525">
          <a:solidFill>
            <a:srgbClr val="000000"/>
          </a:solidFill>
          <a:round/>
          <a:headEnd/>
          <a:tailEnd/>
        </a:ln>
      </xdr:spPr>
    </xdr:sp>
    <xdr:clientData/>
  </xdr:twoCellAnchor>
  <xdr:twoCellAnchor>
    <xdr:from>
      <xdr:col>0</xdr:col>
      <xdr:colOff>400050</xdr:colOff>
      <xdr:row>11</xdr:row>
      <xdr:rowOff>161925</xdr:rowOff>
    </xdr:from>
    <xdr:to>
      <xdr:col>0</xdr:col>
      <xdr:colOff>657225</xdr:colOff>
      <xdr:row>13</xdr:row>
      <xdr:rowOff>9525</xdr:rowOff>
    </xdr:to>
    <xdr:sp macro="" textlink="">
      <xdr:nvSpPr>
        <xdr:cNvPr id="204" name="Rectangle 241">
          <a:extLst>
            <a:ext uri="{FF2B5EF4-FFF2-40B4-BE49-F238E27FC236}">
              <a16:creationId xmlns:a16="http://schemas.microsoft.com/office/drawing/2014/main" id="{00000000-0008-0000-0000-0000CC000000}"/>
            </a:ext>
          </a:extLst>
        </xdr:cNvPr>
        <xdr:cNvSpPr>
          <a:spLocks noChangeArrowheads="1"/>
        </xdr:cNvSpPr>
      </xdr:nvSpPr>
      <xdr:spPr bwMode="auto">
        <a:xfrm>
          <a:off x="400050" y="2085975"/>
          <a:ext cx="257175" cy="228600"/>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clientData/>
  </xdr:twoCellAnchor>
  <xdr:twoCellAnchor>
    <xdr:from>
      <xdr:col>0</xdr:col>
      <xdr:colOff>409575</xdr:colOff>
      <xdr:row>6</xdr:row>
      <xdr:rowOff>19050</xdr:rowOff>
    </xdr:from>
    <xdr:to>
      <xdr:col>0</xdr:col>
      <xdr:colOff>647700</xdr:colOff>
      <xdr:row>6</xdr:row>
      <xdr:rowOff>161925</xdr:rowOff>
    </xdr:to>
    <xdr:sp macro="" textlink="">
      <xdr:nvSpPr>
        <xdr:cNvPr id="205" name="Rectangle 242">
          <a:extLst>
            <a:ext uri="{FF2B5EF4-FFF2-40B4-BE49-F238E27FC236}">
              <a16:creationId xmlns:a16="http://schemas.microsoft.com/office/drawing/2014/main" id="{00000000-0008-0000-0000-0000CD000000}"/>
            </a:ext>
          </a:extLst>
        </xdr:cNvPr>
        <xdr:cNvSpPr>
          <a:spLocks noChangeArrowheads="1"/>
        </xdr:cNvSpPr>
      </xdr:nvSpPr>
      <xdr:spPr bwMode="auto">
        <a:xfrm>
          <a:off x="409575" y="1095375"/>
          <a:ext cx="238125" cy="142875"/>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clientData/>
  </xdr:twoCellAnchor>
  <xdr:twoCellAnchor>
    <xdr:from>
      <xdr:col>0</xdr:col>
      <xdr:colOff>104775</xdr:colOff>
      <xdr:row>62</xdr:row>
      <xdr:rowOff>180975</xdr:rowOff>
    </xdr:from>
    <xdr:to>
      <xdr:col>0</xdr:col>
      <xdr:colOff>190500</xdr:colOff>
      <xdr:row>63</xdr:row>
      <xdr:rowOff>85725</xdr:rowOff>
    </xdr:to>
    <xdr:grpSp>
      <xdr:nvGrpSpPr>
        <xdr:cNvPr id="206" name="Group 243">
          <a:extLst>
            <a:ext uri="{FF2B5EF4-FFF2-40B4-BE49-F238E27FC236}">
              <a16:creationId xmlns:a16="http://schemas.microsoft.com/office/drawing/2014/main" id="{00000000-0008-0000-0000-0000CE000000}"/>
            </a:ext>
          </a:extLst>
        </xdr:cNvPr>
        <xdr:cNvGrpSpPr>
          <a:grpSpLocks/>
        </xdr:cNvGrpSpPr>
      </xdr:nvGrpSpPr>
      <xdr:grpSpPr bwMode="auto">
        <a:xfrm>
          <a:off x="104775" y="12192000"/>
          <a:ext cx="85725" cy="104775"/>
          <a:chOff x="53" y="1433"/>
          <a:chExt cx="9" cy="11"/>
        </a:xfrm>
      </xdr:grpSpPr>
      <xdr:sp macro="" textlink="">
        <xdr:nvSpPr>
          <xdr:cNvPr id="207" name="Line 244">
            <a:extLst>
              <a:ext uri="{FF2B5EF4-FFF2-40B4-BE49-F238E27FC236}">
                <a16:creationId xmlns:a16="http://schemas.microsoft.com/office/drawing/2014/main" id="{00000000-0008-0000-0000-0000CF000000}"/>
              </a:ext>
            </a:extLst>
          </xdr:cNvPr>
          <xdr:cNvSpPr>
            <a:spLocks noChangeShapeType="1"/>
          </xdr:cNvSpPr>
        </xdr:nvSpPr>
        <xdr:spPr bwMode="auto">
          <a:xfrm>
            <a:off x="53" y="1433"/>
            <a:ext cx="9"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8" name="Arc 245">
            <a:extLst>
              <a:ext uri="{FF2B5EF4-FFF2-40B4-BE49-F238E27FC236}">
                <a16:creationId xmlns:a16="http://schemas.microsoft.com/office/drawing/2014/main" id="{00000000-0008-0000-0000-0000D0000000}"/>
              </a:ext>
            </a:extLst>
          </xdr:cNvPr>
          <xdr:cNvSpPr>
            <a:spLocks/>
          </xdr:cNvSpPr>
        </xdr:nvSpPr>
        <xdr:spPr bwMode="auto">
          <a:xfrm flipH="1" flipV="1">
            <a:off x="53" y="1433"/>
            <a:ext cx="9" cy="11"/>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val="000000"/>
          </a:solidFill>
          <a:ln w="9525">
            <a:solidFill>
              <a:srgbClr val="000000"/>
            </a:solidFill>
            <a:round/>
            <a:headEnd/>
            <a:tailEnd/>
          </a:ln>
        </xdr:spPr>
      </xdr:sp>
    </xdr:grpSp>
    <xdr:clientData/>
  </xdr:twoCellAnchor>
  <xdr:twoCellAnchor>
    <xdr:from>
      <xdr:col>0</xdr:col>
      <xdr:colOff>685800</xdr:colOff>
      <xdr:row>6</xdr:row>
      <xdr:rowOff>133350</xdr:rowOff>
    </xdr:from>
    <xdr:to>
      <xdr:col>0</xdr:col>
      <xdr:colOff>752475</xdr:colOff>
      <xdr:row>7</xdr:row>
      <xdr:rowOff>0</xdr:rowOff>
    </xdr:to>
    <xdr:sp macro="" textlink="">
      <xdr:nvSpPr>
        <xdr:cNvPr id="209" name="Rectangle 246">
          <a:extLst>
            <a:ext uri="{FF2B5EF4-FFF2-40B4-BE49-F238E27FC236}">
              <a16:creationId xmlns:a16="http://schemas.microsoft.com/office/drawing/2014/main" id="{00000000-0008-0000-0000-0000D1000000}"/>
            </a:ext>
          </a:extLst>
        </xdr:cNvPr>
        <xdr:cNvSpPr>
          <a:spLocks noChangeArrowheads="1"/>
        </xdr:cNvSpPr>
      </xdr:nvSpPr>
      <xdr:spPr bwMode="auto">
        <a:xfrm>
          <a:off x="685800" y="1209675"/>
          <a:ext cx="66675" cy="38100"/>
        </a:xfrm>
        <a:prstGeom prst="rect">
          <a:avLst/>
        </a:prstGeom>
        <a:solidFill>
          <a:srgbClr val="FFFFFF"/>
        </a:solidFill>
        <a:ln w="9525">
          <a:solidFill>
            <a:srgbClr val="000000"/>
          </a:solidFill>
          <a:miter lim="800000"/>
          <a:headEnd/>
          <a:tailEnd/>
        </a:ln>
      </xdr:spPr>
    </xdr:sp>
    <xdr:clientData/>
  </xdr:twoCellAnchor>
  <xdr:twoCellAnchor>
    <xdr:from>
      <xdr:col>0</xdr:col>
      <xdr:colOff>685800</xdr:colOff>
      <xdr:row>8</xdr:row>
      <xdr:rowOff>142875</xdr:rowOff>
    </xdr:from>
    <xdr:to>
      <xdr:col>0</xdr:col>
      <xdr:colOff>752475</xdr:colOff>
      <xdr:row>9</xdr:row>
      <xdr:rowOff>28575</xdr:rowOff>
    </xdr:to>
    <xdr:sp macro="" textlink="">
      <xdr:nvSpPr>
        <xdr:cNvPr id="210" name="Rectangle 247">
          <a:extLst>
            <a:ext uri="{FF2B5EF4-FFF2-40B4-BE49-F238E27FC236}">
              <a16:creationId xmlns:a16="http://schemas.microsoft.com/office/drawing/2014/main" id="{00000000-0008-0000-0000-0000D2000000}"/>
            </a:ext>
          </a:extLst>
        </xdr:cNvPr>
        <xdr:cNvSpPr>
          <a:spLocks noChangeArrowheads="1"/>
        </xdr:cNvSpPr>
      </xdr:nvSpPr>
      <xdr:spPr bwMode="auto">
        <a:xfrm>
          <a:off x="685800" y="1552575"/>
          <a:ext cx="66675" cy="47625"/>
        </a:xfrm>
        <a:prstGeom prst="rect">
          <a:avLst/>
        </a:prstGeom>
        <a:solidFill>
          <a:srgbClr val="FFFFFF"/>
        </a:solidFill>
        <a:ln w="9525">
          <a:solidFill>
            <a:srgbClr val="000000"/>
          </a:solidFill>
          <a:miter lim="800000"/>
          <a:headEnd/>
          <a:tailEnd/>
        </a:ln>
      </xdr:spPr>
    </xdr:sp>
    <xdr:clientData/>
  </xdr:twoCellAnchor>
  <xdr:twoCellAnchor>
    <xdr:from>
      <xdr:col>0</xdr:col>
      <xdr:colOff>190500</xdr:colOff>
      <xdr:row>8</xdr:row>
      <xdr:rowOff>104775</xdr:rowOff>
    </xdr:from>
    <xdr:to>
      <xdr:col>0</xdr:col>
      <xdr:colOff>190500</xdr:colOff>
      <xdr:row>63</xdr:row>
      <xdr:rowOff>123825</xdr:rowOff>
    </xdr:to>
    <xdr:sp macro="" textlink="">
      <xdr:nvSpPr>
        <xdr:cNvPr id="211" name="Line 248">
          <a:extLst>
            <a:ext uri="{FF2B5EF4-FFF2-40B4-BE49-F238E27FC236}">
              <a16:creationId xmlns:a16="http://schemas.microsoft.com/office/drawing/2014/main" id="{00000000-0008-0000-0000-0000D3000000}"/>
            </a:ext>
          </a:extLst>
        </xdr:cNvPr>
        <xdr:cNvSpPr>
          <a:spLocks noChangeShapeType="1"/>
        </xdr:cNvSpPr>
      </xdr:nvSpPr>
      <xdr:spPr bwMode="auto">
        <a:xfrm>
          <a:off x="190500" y="1514475"/>
          <a:ext cx="0" cy="1082040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809625</xdr:colOff>
      <xdr:row>8</xdr:row>
      <xdr:rowOff>47625</xdr:rowOff>
    </xdr:from>
    <xdr:to>
      <xdr:col>0</xdr:col>
      <xdr:colOff>809625</xdr:colOff>
      <xdr:row>63</xdr:row>
      <xdr:rowOff>95250</xdr:rowOff>
    </xdr:to>
    <xdr:sp macro="" textlink="">
      <xdr:nvSpPr>
        <xdr:cNvPr id="212" name="Line 249">
          <a:extLst>
            <a:ext uri="{FF2B5EF4-FFF2-40B4-BE49-F238E27FC236}">
              <a16:creationId xmlns:a16="http://schemas.microsoft.com/office/drawing/2014/main" id="{00000000-0008-0000-0000-0000D4000000}"/>
            </a:ext>
          </a:extLst>
        </xdr:cNvPr>
        <xdr:cNvSpPr>
          <a:spLocks noChangeShapeType="1"/>
        </xdr:cNvSpPr>
      </xdr:nvSpPr>
      <xdr:spPr bwMode="auto">
        <a:xfrm>
          <a:off x="809625" y="1457325"/>
          <a:ext cx="0" cy="1084897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733425</xdr:colOff>
      <xdr:row>9</xdr:row>
      <xdr:rowOff>28575</xdr:rowOff>
    </xdr:from>
    <xdr:to>
      <xdr:col>0</xdr:col>
      <xdr:colOff>733425</xdr:colOff>
      <xdr:row>12</xdr:row>
      <xdr:rowOff>57150</xdr:rowOff>
    </xdr:to>
    <xdr:sp macro="" textlink="">
      <xdr:nvSpPr>
        <xdr:cNvPr id="213" name="Line 250">
          <a:extLst>
            <a:ext uri="{FF2B5EF4-FFF2-40B4-BE49-F238E27FC236}">
              <a16:creationId xmlns:a16="http://schemas.microsoft.com/office/drawing/2014/main" id="{00000000-0008-0000-0000-0000D5000000}"/>
            </a:ext>
          </a:extLst>
        </xdr:cNvPr>
        <xdr:cNvSpPr>
          <a:spLocks noChangeShapeType="1"/>
        </xdr:cNvSpPr>
      </xdr:nvSpPr>
      <xdr:spPr bwMode="auto">
        <a:xfrm>
          <a:off x="733425" y="160020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704850</xdr:colOff>
      <xdr:row>9</xdr:row>
      <xdr:rowOff>28575</xdr:rowOff>
    </xdr:from>
    <xdr:to>
      <xdr:col>0</xdr:col>
      <xdr:colOff>704850</xdr:colOff>
      <xdr:row>11</xdr:row>
      <xdr:rowOff>180975</xdr:rowOff>
    </xdr:to>
    <xdr:sp macro="" textlink="">
      <xdr:nvSpPr>
        <xdr:cNvPr id="214" name="Line 251">
          <a:extLst>
            <a:ext uri="{FF2B5EF4-FFF2-40B4-BE49-F238E27FC236}">
              <a16:creationId xmlns:a16="http://schemas.microsoft.com/office/drawing/2014/main" id="{00000000-0008-0000-0000-0000D6000000}"/>
            </a:ext>
          </a:extLst>
        </xdr:cNvPr>
        <xdr:cNvSpPr>
          <a:spLocks noChangeShapeType="1"/>
        </xdr:cNvSpPr>
      </xdr:nvSpPr>
      <xdr:spPr bwMode="auto">
        <a:xfrm>
          <a:off x="704850" y="1600200"/>
          <a:ext cx="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657225</xdr:colOff>
      <xdr:row>12</xdr:row>
      <xdr:rowOff>0</xdr:rowOff>
    </xdr:from>
    <xdr:to>
      <xdr:col>0</xdr:col>
      <xdr:colOff>704850</xdr:colOff>
      <xdr:row>12</xdr:row>
      <xdr:rowOff>0</xdr:rowOff>
    </xdr:to>
    <xdr:sp macro="" textlink="">
      <xdr:nvSpPr>
        <xdr:cNvPr id="215" name="Line 252">
          <a:extLst>
            <a:ext uri="{FF2B5EF4-FFF2-40B4-BE49-F238E27FC236}">
              <a16:creationId xmlns:a16="http://schemas.microsoft.com/office/drawing/2014/main" id="{00000000-0008-0000-0000-0000D7000000}"/>
            </a:ext>
          </a:extLst>
        </xdr:cNvPr>
        <xdr:cNvSpPr>
          <a:spLocks noChangeShapeType="1"/>
        </xdr:cNvSpPr>
      </xdr:nvSpPr>
      <xdr:spPr bwMode="auto">
        <a:xfrm flipH="1">
          <a:off x="657225" y="211455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657225</xdr:colOff>
      <xdr:row>12</xdr:row>
      <xdr:rowOff>38100</xdr:rowOff>
    </xdr:from>
    <xdr:to>
      <xdr:col>0</xdr:col>
      <xdr:colOff>704850</xdr:colOff>
      <xdr:row>12</xdr:row>
      <xdr:rowOff>38100</xdr:rowOff>
    </xdr:to>
    <xdr:sp macro="" textlink="">
      <xdr:nvSpPr>
        <xdr:cNvPr id="216" name="Line 253">
          <a:extLst>
            <a:ext uri="{FF2B5EF4-FFF2-40B4-BE49-F238E27FC236}">
              <a16:creationId xmlns:a16="http://schemas.microsoft.com/office/drawing/2014/main" id="{00000000-0008-0000-0000-0000D8000000}"/>
            </a:ext>
          </a:extLst>
        </xdr:cNvPr>
        <xdr:cNvSpPr>
          <a:spLocks noChangeShapeType="1"/>
        </xdr:cNvSpPr>
      </xdr:nvSpPr>
      <xdr:spPr bwMode="auto">
        <a:xfrm flipH="1">
          <a:off x="657225" y="215265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533400</xdr:colOff>
      <xdr:row>51</xdr:row>
      <xdr:rowOff>9525</xdr:rowOff>
    </xdr:from>
    <xdr:ext cx="175176" cy="180036"/>
    <xdr:sp macro="" textlink="">
      <xdr:nvSpPr>
        <xdr:cNvPr id="217" name="Text Box 254">
          <a:extLst>
            <a:ext uri="{FF2B5EF4-FFF2-40B4-BE49-F238E27FC236}">
              <a16:creationId xmlns:a16="http://schemas.microsoft.com/office/drawing/2014/main" id="{00000000-0008-0000-0000-0000D9000000}"/>
            </a:ext>
          </a:extLst>
        </xdr:cNvPr>
        <xdr:cNvSpPr txBox="1">
          <a:spLocks noChangeArrowheads="1"/>
        </xdr:cNvSpPr>
      </xdr:nvSpPr>
      <xdr:spPr bwMode="auto">
        <a:xfrm>
          <a:off x="8362950" y="9829800"/>
          <a:ext cx="175176"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FT</a:t>
          </a:r>
        </a:p>
      </xdr:txBody>
    </xdr:sp>
    <xdr:clientData/>
  </xdr:oneCellAnchor>
  <xdr:oneCellAnchor>
    <xdr:from>
      <xdr:col>0</xdr:col>
      <xdr:colOff>876300</xdr:colOff>
      <xdr:row>7</xdr:row>
      <xdr:rowOff>133350</xdr:rowOff>
    </xdr:from>
    <xdr:ext cx="89768" cy="180036"/>
    <xdr:sp macro="" textlink="">
      <xdr:nvSpPr>
        <xdr:cNvPr id="218" name="Text Box 255">
          <a:extLst>
            <a:ext uri="{FF2B5EF4-FFF2-40B4-BE49-F238E27FC236}">
              <a16:creationId xmlns:a16="http://schemas.microsoft.com/office/drawing/2014/main" id="{00000000-0008-0000-0000-0000DA000000}"/>
            </a:ext>
          </a:extLst>
        </xdr:cNvPr>
        <xdr:cNvSpPr txBox="1">
          <a:spLocks noChangeArrowheads="1"/>
        </xdr:cNvSpPr>
      </xdr:nvSpPr>
      <xdr:spPr bwMode="auto">
        <a:xfrm>
          <a:off x="876300" y="1381125"/>
          <a:ext cx="89768"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a:t>
          </a:r>
        </a:p>
      </xdr:txBody>
    </xdr:sp>
    <xdr:clientData/>
  </xdr:oneCellAnchor>
  <xdr:oneCellAnchor>
    <xdr:from>
      <xdr:col>0</xdr:col>
      <xdr:colOff>466725</xdr:colOff>
      <xdr:row>9</xdr:row>
      <xdr:rowOff>171450</xdr:rowOff>
    </xdr:from>
    <xdr:ext cx="89768" cy="180036"/>
    <xdr:sp macro="" textlink="">
      <xdr:nvSpPr>
        <xdr:cNvPr id="219" name="Text Box 256">
          <a:extLst>
            <a:ext uri="{FF2B5EF4-FFF2-40B4-BE49-F238E27FC236}">
              <a16:creationId xmlns:a16="http://schemas.microsoft.com/office/drawing/2014/main" id="{00000000-0008-0000-0000-0000DB000000}"/>
            </a:ext>
          </a:extLst>
        </xdr:cNvPr>
        <xdr:cNvSpPr txBox="1">
          <a:spLocks noChangeArrowheads="1"/>
        </xdr:cNvSpPr>
      </xdr:nvSpPr>
      <xdr:spPr bwMode="auto">
        <a:xfrm>
          <a:off x="466725" y="1743075"/>
          <a:ext cx="89768"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2</a:t>
          </a:r>
        </a:p>
      </xdr:txBody>
    </xdr:sp>
    <xdr:clientData/>
  </xdr:oneCellAnchor>
  <xdr:oneCellAnchor>
    <xdr:from>
      <xdr:col>0</xdr:col>
      <xdr:colOff>466725</xdr:colOff>
      <xdr:row>12</xdr:row>
      <xdr:rowOff>0</xdr:rowOff>
    </xdr:from>
    <xdr:ext cx="89768" cy="180036"/>
    <xdr:sp macro="" textlink="">
      <xdr:nvSpPr>
        <xdr:cNvPr id="220" name="Text Box 257">
          <a:extLst>
            <a:ext uri="{FF2B5EF4-FFF2-40B4-BE49-F238E27FC236}">
              <a16:creationId xmlns:a16="http://schemas.microsoft.com/office/drawing/2014/main" id="{00000000-0008-0000-0000-0000DC000000}"/>
            </a:ext>
          </a:extLst>
        </xdr:cNvPr>
        <xdr:cNvSpPr txBox="1">
          <a:spLocks noChangeArrowheads="1"/>
        </xdr:cNvSpPr>
      </xdr:nvSpPr>
      <xdr:spPr bwMode="auto">
        <a:xfrm>
          <a:off x="466725" y="2114550"/>
          <a:ext cx="89768"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3</a:t>
          </a:r>
        </a:p>
      </xdr:txBody>
    </xdr:sp>
    <xdr:clientData/>
  </xdr:oneCellAnchor>
  <xdr:oneCellAnchor>
    <xdr:from>
      <xdr:col>0</xdr:col>
      <xdr:colOff>466725</xdr:colOff>
      <xdr:row>13</xdr:row>
      <xdr:rowOff>0</xdr:rowOff>
    </xdr:from>
    <xdr:ext cx="104775" cy="142875"/>
    <xdr:sp macro="" textlink="">
      <xdr:nvSpPr>
        <xdr:cNvPr id="221" name="Text Box 258">
          <a:extLst>
            <a:ext uri="{FF2B5EF4-FFF2-40B4-BE49-F238E27FC236}">
              <a16:creationId xmlns:a16="http://schemas.microsoft.com/office/drawing/2014/main" id="{00000000-0008-0000-0000-0000DD000000}"/>
            </a:ext>
          </a:extLst>
        </xdr:cNvPr>
        <xdr:cNvSpPr txBox="1">
          <a:spLocks noChangeArrowheads="1"/>
        </xdr:cNvSpPr>
      </xdr:nvSpPr>
      <xdr:spPr bwMode="auto">
        <a:xfrm>
          <a:off x="466725" y="2305050"/>
          <a:ext cx="104775"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4</a:t>
          </a:r>
        </a:p>
      </xdr:txBody>
    </xdr:sp>
    <xdr:clientData/>
  </xdr:oneCellAnchor>
  <xdr:oneCellAnchor>
    <xdr:from>
      <xdr:col>0</xdr:col>
      <xdr:colOff>657225</xdr:colOff>
      <xdr:row>14</xdr:row>
      <xdr:rowOff>76200</xdr:rowOff>
    </xdr:from>
    <xdr:ext cx="89768" cy="180036"/>
    <xdr:sp macro="" textlink="">
      <xdr:nvSpPr>
        <xdr:cNvPr id="222" name="Text Box 259">
          <a:extLst>
            <a:ext uri="{FF2B5EF4-FFF2-40B4-BE49-F238E27FC236}">
              <a16:creationId xmlns:a16="http://schemas.microsoft.com/office/drawing/2014/main" id="{00000000-0008-0000-0000-0000DE000000}"/>
            </a:ext>
          </a:extLst>
        </xdr:cNvPr>
        <xdr:cNvSpPr txBox="1">
          <a:spLocks noChangeArrowheads="1"/>
        </xdr:cNvSpPr>
      </xdr:nvSpPr>
      <xdr:spPr bwMode="auto">
        <a:xfrm>
          <a:off x="657225" y="2571750"/>
          <a:ext cx="89768"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5</a:t>
          </a:r>
        </a:p>
      </xdr:txBody>
    </xdr:sp>
    <xdr:clientData/>
  </xdr:oneCellAnchor>
  <xdr:oneCellAnchor>
    <xdr:from>
      <xdr:col>0</xdr:col>
      <xdr:colOff>914400</xdr:colOff>
      <xdr:row>18</xdr:row>
      <xdr:rowOff>171450</xdr:rowOff>
    </xdr:from>
    <xdr:ext cx="89768" cy="180036"/>
    <xdr:sp macro="" textlink="">
      <xdr:nvSpPr>
        <xdr:cNvPr id="223" name="Text Box 260">
          <a:extLst>
            <a:ext uri="{FF2B5EF4-FFF2-40B4-BE49-F238E27FC236}">
              <a16:creationId xmlns:a16="http://schemas.microsoft.com/office/drawing/2014/main" id="{00000000-0008-0000-0000-0000DF000000}"/>
            </a:ext>
          </a:extLst>
        </xdr:cNvPr>
        <xdr:cNvSpPr txBox="1">
          <a:spLocks noChangeArrowheads="1"/>
        </xdr:cNvSpPr>
      </xdr:nvSpPr>
      <xdr:spPr bwMode="auto">
        <a:xfrm>
          <a:off x="914400" y="3390900"/>
          <a:ext cx="89768"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6</a:t>
          </a:r>
        </a:p>
      </xdr:txBody>
    </xdr:sp>
    <xdr:clientData/>
  </xdr:oneCellAnchor>
  <xdr:oneCellAnchor>
    <xdr:from>
      <xdr:col>0</xdr:col>
      <xdr:colOff>523875</xdr:colOff>
      <xdr:row>20</xdr:row>
      <xdr:rowOff>171450</xdr:rowOff>
    </xdr:from>
    <xdr:ext cx="142875" cy="180975"/>
    <xdr:sp macro="" textlink="">
      <xdr:nvSpPr>
        <xdr:cNvPr id="224" name="Text Box 261">
          <a:extLst>
            <a:ext uri="{FF2B5EF4-FFF2-40B4-BE49-F238E27FC236}">
              <a16:creationId xmlns:a16="http://schemas.microsoft.com/office/drawing/2014/main" id="{00000000-0008-0000-0000-0000E0000000}"/>
            </a:ext>
          </a:extLst>
        </xdr:cNvPr>
        <xdr:cNvSpPr txBox="1">
          <a:spLocks noChangeArrowheads="1"/>
        </xdr:cNvSpPr>
      </xdr:nvSpPr>
      <xdr:spPr bwMode="auto">
        <a:xfrm>
          <a:off x="523875" y="3790950"/>
          <a:ext cx="1428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7</a:t>
          </a:r>
        </a:p>
        <a:p>
          <a:pPr algn="l" rtl="0">
            <a:defRPr sz="1000"/>
          </a:pPr>
          <a:endParaRPr lang="en-US" sz="1000" b="1" i="0" strike="noStrike">
            <a:solidFill>
              <a:srgbClr val="000000"/>
            </a:solidFill>
            <a:latin typeface="Arial"/>
            <a:cs typeface="Arial"/>
          </a:endParaRPr>
        </a:p>
      </xdr:txBody>
    </xdr:sp>
    <xdr:clientData/>
  </xdr:oneCellAnchor>
  <xdr:oneCellAnchor>
    <xdr:from>
      <xdr:col>0</xdr:col>
      <xdr:colOff>685800</xdr:colOff>
      <xdr:row>25</xdr:row>
      <xdr:rowOff>9525</xdr:rowOff>
    </xdr:from>
    <xdr:ext cx="89768" cy="180036"/>
    <xdr:sp macro="" textlink="">
      <xdr:nvSpPr>
        <xdr:cNvPr id="225" name="Text Box 262">
          <a:extLst>
            <a:ext uri="{FF2B5EF4-FFF2-40B4-BE49-F238E27FC236}">
              <a16:creationId xmlns:a16="http://schemas.microsoft.com/office/drawing/2014/main" id="{00000000-0008-0000-0000-0000E1000000}"/>
            </a:ext>
          </a:extLst>
        </xdr:cNvPr>
        <xdr:cNvSpPr txBox="1">
          <a:spLocks noChangeArrowheads="1"/>
        </xdr:cNvSpPr>
      </xdr:nvSpPr>
      <xdr:spPr bwMode="auto">
        <a:xfrm>
          <a:off x="685800" y="4629150"/>
          <a:ext cx="89768"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8</a:t>
          </a:r>
        </a:p>
      </xdr:txBody>
    </xdr:sp>
    <xdr:clientData/>
  </xdr:oneCellAnchor>
  <xdr:oneCellAnchor>
    <xdr:from>
      <xdr:col>0</xdr:col>
      <xdr:colOff>685800</xdr:colOff>
      <xdr:row>26</xdr:row>
      <xdr:rowOff>19050</xdr:rowOff>
    </xdr:from>
    <xdr:ext cx="89768" cy="180036"/>
    <xdr:sp macro="" textlink="">
      <xdr:nvSpPr>
        <xdr:cNvPr id="226" name="Text Box 263">
          <a:extLst>
            <a:ext uri="{FF2B5EF4-FFF2-40B4-BE49-F238E27FC236}">
              <a16:creationId xmlns:a16="http://schemas.microsoft.com/office/drawing/2014/main" id="{00000000-0008-0000-0000-0000E2000000}"/>
            </a:ext>
          </a:extLst>
        </xdr:cNvPr>
        <xdr:cNvSpPr txBox="1">
          <a:spLocks noChangeArrowheads="1"/>
        </xdr:cNvSpPr>
      </xdr:nvSpPr>
      <xdr:spPr bwMode="auto">
        <a:xfrm>
          <a:off x="685800" y="4838700"/>
          <a:ext cx="89768"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9</a:t>
          </a:r>
        </a:p>
      </xdr:txBody>
    </xdr:sp>
    <xdr:clientData/>
  </xdr:oneCellAnchor>
  <xdr:oneCellAnchor>
    <xdr:from>
      <xdr:col>0</xdr:col>
      <xdr:colOff>857250</xdr:colOff>
      <xdr:row>42</xdr:row>
      <xdr:rowOff>9525</xdr:rowOff>
    </xdr:from>
    <xdr:ext cx="161070" cy="170560"/>
    <xdr:sp macro="" textlink="">
      <xdr:nvSpPr>
        <xdr:cNvPr id="227" name="Text Box 264">
          <a:extLst>
            <a:ext uri="{FF2B5EF4-FFF2-40B4-BE49-F238E27FC236}">
              <a16:creationId xmlns:a16="http://schemas.microsoft.com/office/drawing/2014/main" id="{00000000-0008-0000-0000-0000E3000000}"/>
            </a:ext>
          </a:extLst>
        </xdr:cNvPr>
        <xdr:cNvSpPr txBox="1">
          <a:spLocks noChangeArrowheads="1"/>
        </xdr:cNvSpPr>
      </xdr:nvSpPr>
      <xdr:spPr bwMode="auto">
        <a:xfrm>
          <a:off x="857250" y="802957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14</a:t>
          </a:r>
        </a:p>
      </xdr:txBody>
    </xdr:sp>
    <xdr:clientData/>
  </xdr:oneCellAnchor>
  <xdr:twoCellAnchor editAs="oneCell">
    <xdr:from>
      <xdr:col>0</xdr:col>
      <xdr:colOff>790575</xdr:colOff>
      <xdr:row>39</xdr:row>
      <xdr:rowOff>95250</xdr:rowOff>
    </xdr:from>
    <xdr:to>
      <xdr:col>0</xdr:col>
      <xdr:colOff>866775</xdr:colOff>
      <xdr:row>40</xdr:row>
      <xdr:rowOff>95250</xdr:rowOff>
    </xdr:to>
    <xdr:sp macro="" textlink="">
      <xdr:nvSpPr>
        <xdr:cNvPr id="228" name="Text Box 265">
          <a:extLst>
            <a:ext uri="{FF2B5EF4-FFF2-40B4-BE49-F238E27FC236}">
              <a16:creationId xmlns:a16="http://schemas.microsoft.com/office/drawing/2014/main" id="{00000000-0008-0000-0000-0000E4000000}"/>
            </a:ext>
          </a:extLst>
        </xdr:cNvPr>
        <xdr:cNvSpPr txBox="1">
          <a:spLocks noChangeArrowheads="1"/>
        </xdr:cNvSpPr>
      </xdr:nvSpPr>
      <xdr:spPr bwMode="auto">
        <a:xfrm>
          <a:off x="790575" y="75152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866775</xdr:colOff>
      <xdr:row>43</xdr:row>
      <xdr:rowOff>152400</xdr:rowOff>
    </xdr:from>
    <xdr:ext cx="161070" cy="170560"/>
    <xdr:sp macro="" textlink="">
      <xdr:nvSpPr>
        <xdr:cNvPr id="229" name="Text Box 266">
          <a:extLst>
            <a:ext uri="{FF2B5EF4-FFF2-40B4-BE49-F238E27FC236}">
              <a16:creationId xmlns:a16="http://schemas.microsoft.com/office/drawing/2014/main" id="{00000000-0008-0000-0000-0000E5000000}"/>
            </a:ext>
          </a:extLst>
        </xdr:cNvPr>
        <xdr:cNvSpPr txBox="1">
          <a:spLocks noChangeArrowheads="1"/>
        </xdr:cNvSpPr>
      </xdr:nvSpPr>
      <xdr:spPr bwMode="auto">
        <a:xfrm>
          <a:off x="866775" y="837247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15</a:t>
          </a:r>
        </a:p>
      </xdr:txBody>
    </xdr:sp>
    <xdr:clientData/>
  </xdr:oneCellAnchor>
  <xdr:oneCellAnchor>
    <xdr:from>
      <xdr:col>0</xdr:col>
      <xdr:colOff>866775</xdr:colOff>
      <xdr:row>45</xdr:row>
      <xdr:rowOff>133350</xdr:rowOff>
    </xdr:from>
    <xdr:ext cx="161070" cy="170560"/>
    <xdr:sp macro="" textlink="">
      <xdr:nvSpPr>
        <xdr:cNvPr id="230" name="Text Box 267">
          <a:extLst>
            <a:ext uri="{FF2B5EF4-FFF2-40B4-BE49-F238E27FC236}">
              <a16:creationId xmlns:a16="http://schemas.microsoft.com/office/drawing/2014/main" id="{00000000-0008-0000-0000-0000E6000000}"/>
            </a:ext>
          </a:extLst>
        </xdr:cNvPr>
        <xdr:cNvSpPr txBox="1">
          <a:spLocks noChangeArrowheads="1"/>
        </xdr:cNvSpPr>
      </xdr:nvSpPr>
      <xdr:spPr bwMode="auto">
        <a:xfrm>
          <a:off x="866775" y="875347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16</a:t>
          </a:r>
        </a:p>
      </xdr:txBody>
    </xdr:sp>
    <xdr:clientData/>
  </xdr:oneCellAnchor>
  <xdr:oneCellAnchor>
    <xdr:from>
      <xdr:col>0</xdr:col>
      <xdr:colOff>742950</xdr:colOff>
      <xdr:row>6</xdr:row>
      <xdr:rowOff>28575</xdr:rowOff>
    </xdr:from>
    <xdr:ext cx="111056" cy="170560"/>
    <xdr:sp macro="" textlink="">
      <xdr:nvSpPr>
        <xdr:cNvPr id="231" name="Text Box 268">
          <a:extLst>
            <a:ext uri="{FF2B5EF4-FFF2-40B4-BE49-F238E27FC236}">
              <a16:creationId xmlns:a16="http://schemas.microsoft.com/office/drawing/2014/main" id="{00000000-0008-0000-0000-0000E7000000}"/>
            </a:ext>
          </a:extLst>
        </xdr:cNvPr>
        <xdr:cNvSpPr txBox="1">
          <a:spLocks noChangeArrowheads="1"/>
        </xdr:cNvSpPr>
      </xdr:nvSpPr>
      <xdr:spPr bwMode="auto">
        <a:xfrm>
          <a:off x="742950" y="1104900"/>
          <a:ext cx="111056"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A</a:t>
          </a:r>
        </a:p>
      </xdr:txBody>
    </xdr:sp>
    <xdr:clientData/>
  </xdr:oneCellAnchor>
  <xdr:oneCellAnchor>
    <xdr:from>
      <xdr:col>0</xdr:col>
      <xdr:colOff>219075</xdr:colOff>
      <xdr:row>6</xdr:row>
      <xdr:rowOff>28575</xdr:rowOff>
    </xdr:from>
    <xdr:ext cx="111056" cy="170560"/>
    <xdr:sp macro="" textlink="">
      <xdr:nvSpPr>
        <xdr:cNvPr id="232" name="Text Box 269">
          <a:extLst>
            <a:ext uri="{FF2B5EF4-FFF2-40B4-BE49-F238E27FC236}">
              <a16:creationId xmlns:a16="http://schemas.microsoft.com/office/drawing/2014/main" id="{00000000-0008-0000-0000-0000E8000000}"/>
            </a:ext>
          </a:extLst>
        </xdr:cNvPr>
        <xdr:cNvSpPr txBox="1">
          <a:spLocks noChangeArrowheads="1"/>
        </xdr:cNvSpPr>
      </xdr:nvSpPr>
      <xdr:spPr bwMode="auto">
        <a:xfrm>
          <a:off x="219075" y="1104900"/>
          <a:ext cx="111056"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C</a:t>
          </a:r>
        </a:p>
      </xdr:txBody>
    </xdr:sp>
    <xdr:clientData/>
  </xdr:oneCellAnchor>
  <xdr:oneCellAnchor>
    <xdr:from>
      <xdr:col>0</xdr:col>
      <xdr:colOff>733425</xdr:colOff>
      <xdr:row>10</xdr:row>
      <xdr:rowOff>19050</xdr:rowOff>
    </xdr:from>
    <xdr:ext cx="111056" cy="170560"/>
    <xdr:sp macro="" textlink="">
      <xdr:nvSpPr>
        <xdr:cNvPr id="233" name="Text Box 270">
          <a:extLst>
            <a:ext uri="{FF2B5EF4-FFF2-40B4-BE49-F238E27FC236}">
              <a16:creationId xmlns:a16="http://schemas.microsoft.com/office/drawing/2014/main" id="{00000000-0008-0000-0000-0000E9000000}"/>
            </a:ext>
          </a:extLst>
        </xdr:cNvPr>
        <xdr:cNvSpPr txBox="1">
          <a:spLocks noChangeArrowheads="1"/>
        </xdr:cNvSpPr>
      </xdr:nvSpPr>
      <xdr:spPr bwMode="auto">
        <a:xfrm>
          <a:off x="733425" y="1781175"/>
          <a:ext cx="111056"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B</a:t>
          </a:r>
        </a:p>
      </xdr:txBody>
    </xdr:sp>
    <xdr:clientData/>
  </xdr:oneCellAnchor>
  <xdr:oneCellAnchor>
    <xdr:from>
      <xdr:col>0</xdr:col>
      <xdr:colOff>57150</xdr:colOff>
      <xdr:row>15</xdr:row>
      <xdr:rowOff>76200</xdr:rowOff>
    </xdr:from>
    <xdr:ext cx="104003" cy="170560"/>
    <xdr:sp macro="" textlink="">
      <xdr:nvSpPr>
        <xdr:cNvPr id="234" name="Text Box 271">
          <a:extLst>
            <a:ext uri="{FF2B5EF4-FFF2-40B4-BE49-F238E27FC236}">
              <a16:creationId xmlns:a16="http://schemas.microsoft.com/office/drawing/2014/main" id="{00000000-0008-0000-0000-0000EA000000}"/>
            </a:ext>
          </a:extLst>
        </xdr:cNvPr>
        <xdr:cNvSpPr txBox="1">
          <a:spLocks noChangeArrowheads="1"/>
        </xdr:cNvSpPr>
      </xdr:nvSpPr>
      <xdr:spPr bwMode="auto">
        <a:xfrm>
          <a:off x="57150" y="2733675"/>
          <a:ext cx="10400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E</a:t>
          </a:r>
        </a:p>
      </xdr:txBody>
    </xdr:sp>
    <xdr:clientData/>
  </xdr:oneCellAnchor>
  <xdr:oneCellAnchor>
    <xdr:from>
      <xdr:col>0</xdr:col>
      <xdr:colOff>47625</xdr:colOff>
      <xdr:row>12</xdr:row>
      <xdr:rowOff>19050</xdr:rowOff>
    </xdr:from>
    <xdr:ext cx="111056" cy="170560"/>
    <xdr:sp macro="" textlink="">
      <xdr:nvSpPr>
        <xdr:cNvPr id="235" name="Text Box 272">
          <a:extLst>
            <a:ext uri="{FF2B5EF4-FFF2-40B4-BE49-F238E27FC236}">
              <a16:creationId xmlns:a16="http://schemas.microsoft.com/office/drawing/2014/main" id="{00000000-0008-0000-0000-0000EB000000}"/>
            </a:ext>
          </a:extLst>
        </xdr:cNvPr>
        <xdr:cNvSpPr txBox="1">
          <a:spLocks noChangeArrowheads="1"/>
        </xdr:cNvSpPr>
      </xdr:nvSpPr>
      <xdr:spPr bwMode="auto">
        <a:xfrm>
          <a:off x="47625" y="2133600"/>
          <a:ext cx="111056"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D</a:t>
          </a:r>
        </a:p>
      </xdr:txBody>
    </xdr:sp>
    <xdr:clientData/>
  </xdr:oneCellAnchor>
  <xdr:oneCellAnchor>
    <xdr:from>
      <xdr:col>0</xdr:col>
      <xdr:colOff>171450</xdr:colOff>
      <xdr:row>31</xdr:row>
      <xdr:rowOff>123825</xdr:rowOff>
    </xdr:from>
    <xdr:ext cx="111056" cy="170560"/>
    <xdr:sp macro="" textlink="">
      <xdr:nvSpPr>
        <xdr:cNvPr id="236" name="Text Box 273">
          <a:extLst>
            <a:ext uri="{FF2B5EF4-FFF2-40B4-BE49-F238E27FC236}">
              <a16:creationId xmlns:a16="http://schemas.microsoft.com/office/drawing/2014/main" id="{00000000-0008-0000-0000-0000EC000000}"/>
            </a:ext>
          </a:extLst>
        </xdr:cNvPr>
        <xdr:cNvSpPr txBox="1">
          <a:spLocks noChangeArrowheads="1"/>
        </xdr:cNvSpPr>
      </xdr:nvSpPr>
      <xdr:spPr bwMode="auto">
        <a:xfrm>
          <a:off x="171450" y="5943600"/>
          <a:ext cx="111056"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H</a:t>
          </a:r>
        </a:p>
      </xdr:txBody>
    </xdr:sp>
    <xdr:clientData/>
  </xdr:oneCellAnchor>
  <xdr:twoCellAnchor>
    <xdr:from>
      <xdr:col>0</xdr:col>
      <xdr:colOff>142875</xdr:colOff>
      <xdr:row>54</xdr:row>
      <xdr:rowOff>85725</xdr:rowOff>
    </xdr:from>
    <xdr:to>
      <xdr:col>0</xdr:col>
      <xdr:colOff>923925</xdr:colOff>
      <xdr:row>60</xdr:row>
      <xdr:rowOff>66675</xdr:rowOff>
    </xdr:to>
    <xdr:grpSp>
      <xdr:nvGrpSpPr>
        <xdr:cNvPr id="237" name="Group 275">
          <a:extLst>
            <a:ext uri="{FF2B5EF4-FFF2-40B4-BE49-F238E27FC236}">
              <a16:creationId xmlns:a16="http://schemas.microsoft.com/office/drawing/2014/main" id="{00000000-0008-0000-0000-0000ED000000}"/>
            </a:ext>
          </a:extLst>
        </xdr:cNvPr>
        <xdr:cNvGrpSpPr>
          <a:grpSpLocks/>
        </xdr:cNvGrpSpPr>
      </xdr:nvGrpSpPr>
      <xdr:grpSpPr bwMode="auto">
        <a:xfrm>
          <a:off x="142875" y="10506075"/>
          <a:ext cx="781050" cy="1171575"/>
          <a:chOff x="13" y="972"/>
          <a:chExt cx="106" cy="216"/>
        </a:xfrm>
      </xdr:grpSpPr>
      <xdr:grpSp>
        <xdr:nvGrpSpPr>
          <xdr:cNvPr id="238" name="Group 276">
            <a:extLst>
              <a:ext uri="{FF2B5EF4-FFF2-40B4-BE49-F238E27FC236}">
                <a16:creationId xmlns:a16="http://schemas.microsoft.com/office/drawing/2014/main" id="{00000000-0008-0000-0000-0000EE000000}"/>
              </a:ext>
            </a:extLst>
          </xdr:cNvPr>
          <xdr:cNvGrpSpPr>
            <a:grpSpLocks/>
          </xdr:cNvGrpSpPr>
        </xdr:nvGrpSpPr>
        <xdr:grpSpPr bwMode="auto">
          <a:xfrm>
            <a:off x="13" y="972"/>
            <a:ext cx="106" cy="216"/>
            <a:chOff x="13" y="956"/>
            <a:chExt cx="106" cy="216"/>
          </a:xfrm>
        </xdr:grpSpPr>
        <xdr:sp macro="" textlink="">
          <xdr:nvSpPr>
            <xdr:cNvPr id="241" name="Freeform 277" descr="5%">
              <a:extLst>
                <a:ext uri="{FF2B5EF4-FFF2-40B4-BE49-F238E27FC236}">
                  <a16:creationId xmlns:a16="http://schemas.microsoft.com/office/drawing/2014/main" id="{00000000-0008-0000-0000-0000F1000000}"/>
                </a:ext>
              </a:extLst>
            </xdr:cNvPr>
            <xdr:cNvSpPr>
              <a:spLocks/>
            </xdr:cNvSpPr>
          </xdr:nvSpPr>
          <xdr:spPr bwMode="auto">
            <a:xfrm flipH="1">
              <a:off x="75" y="970"/>
              <a:ext cx="36" cy="181"/>
            </a:xfrm>
            <a:custGeom>
              <a:avLst/>
              <a:gdLst>
                <a:gd name="T0" fmla="*/ 36 w 36"/>
                <a:gd name="T1" fmla="*/ 181 h 181"/>
                <a:gd name="T2" fmla="*/ 0 w 36"/>
                <a:gd name="T3" fmla="*/ 181 h 181"/>
                <a:gd name="T4" fmla="*/ 0 w 36"/>
                <a:gd name="T5" fmla="*/ 0 h 181"/>
                <a:gd name="T6" fmla="*/ 22 w 36"/>
                <a:gd name="T7" fmla="*/ 0 h 181"/>
                <a:gd name="T8" fmla="*/ 22 w 36"/>
                <a:gd name="T9" fmla="*/ 9 h 181"/>
                <a:gd name="T10" fmla="*/ 17 w 36"/>
                <a:gd name="T11" fmla="*/ 9 h 181"/>
                <a:gd name="T12" fmla="*/ 17 w 36"/>
                <a:gd name="T13" fmla="*/ 16 h 181"/>
                <a:gd name="T14" fmla="*/ 22 w 36"/>
                <a:gd name="T15" fmla="*/ 16 h 181"/>
                <a:gd name="T16" fmla="*/ 22 w 36"/>
                <a:gd name="T17" fmla="*/ 170 h 181"/>
                <a:gd name="T18" fmla="*/ 36 w 36"/>
                <a:gd name="T19" fmla="*/ 170 h 181"/>
                <a:gd name="T20" fmla="*/ 36 w 36"/>
                <a:gd name="T21" fmla="*/ 181 h 18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6"/>
                <a:gd name="T34" fmla="*/ 0 h 181"/>
                <a:gd name="T35" fmla="*/ 36 w 36"/>
                <a:gd name="T36" fmla="*/ 181 h 181"/>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6" h="181">
                  <a:moveTo>
                    <a:pt x="36" y="181"/>
                  </a:moveTo>
                  <a:lnTo>
                    <a:pt x="0" y="181"/>
                  </a:lnTo>
                  <a:lnTo>
                    <a:pt x="0" y="0"/>
                  </a:lnTo>
                  <a:lnTo>
                    <a:pt x="22" y="0"/>
                  </a:lnTo>
                  <a:lnTo>
                    <a:pt x="22" y="9"/>
                  </a:lnTo>
                  <a:lnTo>
                    <a:pt x="17" y="9"/>
                  </a:lnTo>
                  <a:lnTo>
                    <a:pt x="17" y="16"/>
                  </a:lnTo>
                  <a:lnTo>
                    <a:pt x="22" y="16"/>
                  </a:lnTo>
                  <a:lnTo>
                    <a:pt x="22" y="170"/>
                  </a:lnTo>
                  <a:lnTo>
                    <a:pt x="36" y="170"/>
                  </a:lnTo>
                  <a:lnTo>
                    <a:pt x="36" y="181"/>
                  </a:lnTo>
                </a:path>
              </a:pathLst>
            </a:custGeom>
            <a:blipFill dpi="0" rotWithShape="0">
              <a:blip xmlns:r="http://schemas.openxmlformats.org/officeDocument/2006/relationships" r:embed="rId3"/>
              <a:srcRect/>
              <a:tile tx="0" ty="0" sx="100000" sy="100000" flip="none" algn="tl"/>
            </a:blipFill>
            <a:ln w="9525">
              <a:solidFill>
                <a:srgbClr val="000000"/>
              </a:solidFill>
              <a:round/>
              <a:headEnd/>
              <a:tailEnd/>
            </a:ln>
          </xdr:spPr>
        </xdr:sp>
        <xdr:sp macro="" textlink="">
          <xdr:nvSpPr>
            <xdr:cNvPr id="242" name="Freeform 278" descr="5%">
              <a:extLst>
                <a:ext uri="{FF2B5EF4-FFF2-40B4-BE49-F238E27FC236}">
                  <a16:creationId xmlns:a16="http://schemas.microsoft.com/office/drawing/2014/main" id="{00000000-0008-0000-0000-0000F2000000}"/>
                </a:ext>
              </a:extLst>
            </xdr:cNvPr>
            <xdr:cNvSpPr>
              <a:spLocks/>
            </xdr:cNvSpPr>
          </xdr:nvSpPr>
          <xdr:spPr bwMode="auto">
            <a:xfrm>
              <a:off x="20" y="970"/>
              <a:ext cx="36" cy="181"/>
            </a:xfrm>
            <a:custGeom>
              <a:avLst/>
              <a:gdLst>
                <a:gd name="T0" fmla="*/ 36 w 36"/>
                <a:gd name="T1" fmla="*/ 181 h 181"/>
                <a:gd name="T2" fmla="*/ 0 w 36"/>
                <a:gd name="T3" fmla="*/ 181 h 181"/>
                <a:gd name="T4" fmla="*/ 0 w 36"/>
                <a:gd name="T5" fmla="*/ 0 h 181"/>
                <a:gd name="T6" fmla="*/ 22 w 36"/>
                <a:gd name="T7" fmla="*/ 0 h 181"/>
                <a:gd name="T8" fmla="*/ 22 w 36"/>
                <a:gd name="T9" fmla="*/ 9 h 181"/>
                <a:gd name="T10" fmla="*/ 17 w 36"/>
                <a:gd name="T11" fmla="*/ 9 h 181"/>
                <a:gd name="T12" fmla="*/ 17 w 36"/>
                <a:gd name="T13" fmla="*/ 16 h 181"/>
                <a:gd name="T14" fmla="*/ 22 w 36"/>
                <a:gd name="T15" fmla="*/ 16 h 181"/>
                <a:gd name="T16" fmla="*/ 22 w 36"/>
                <a:gd name="T17" fmla="*/ 170 h 181"/>
                <a:gd name="T18" fmla="*/ 36 w 36"/>
                <a:gd name="T19" fmla="*/ 170 h 181"/>
                <a:gd name="T20" fmla="*/ 36 w 36"/>
                <a:gd name="T21" fmla="*/ 181 h 18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6"/>
                <a:gd name="T34" fmla="*/ 0 h 181"/>
                <a:gd name="T35" fmla="*/ 36 w 36"/>
                <a:gd name="T36" fmla="*/ 181 h 181"/>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6" h="181">
                  <a:moveTo>
                    <a:pt x="36" y="181"/>
                  </a:moveTo>
                  <a:lnTo>
                    <a:pt x="0" y="181"/>
                  </a:lnTo>
                  <a:lnTo>
                    <a:pt x="0" y="0"/>
                  </a:lnTo>
                  <a:lnTo>
                    <a:pt x="22" y="0"/>
                  </a:lnTo>
                  <a:lnTo>
                    <a:pt x="22" y="9"/>
                  </a:lnTo>
                  <a:lnTo>
                    <a:pt x="17" y="9"/>
                  </a:lnTo>
                  <a:lnTo>
                    <a:pt x="17" y="16"/>
                  </a:lnTo>
                  <a:lnTo>
                    <a:pt x="22" y="16"/>
                  </a:lnTo>
                  <a:lnTo>
                    <a:pt x="22" y="170"/>
                  </a:lnTo>
                  <a:lnTo>
                    <a:pt x="36" y="170"/>
                  </a:lnTo>
                  <a:lnTo>
                    <a:pt x="36" y="181"/>
                  </a:lnTo>
                </a:path>
              </a:pathLst>
            </a:custGeom>
            <a:blipFill dpi="0" rotWithShape="0">
              <a:blip xmlns:r="http://schemas.openxmlformats.org/officeDocument/2006/relationships" r:embed="rId3"/>
              <a:srcRect/>
              <a:tile tx="0" ty="0" sx="100000" sy="100000" flip="none" algn="tl"/>
            </a:blipFill>
            <a:ln w="9525">
              <a:solidFill>
                <a:srgbClr val="000000"/>
              </a:solidFill>
              <a:round/>
              <a:headEnd/>
              <a:tailEnd/>
            </a:ln>
          </xdr:spPr>
        </xdr:sp>
        <xdr:sp macro="" textlink="">
          <xdr:nvSpPr>
            <xdr:cNvPr id="243" name="Rectangle 279" descr="25%">
              <a:extLst>
                <a:ext uri="{FF2B5EF4-FFF2-40B4-BE49-F238E27FC236}">
                  <a16:creationId xmlns:a16="http://schemas.microsoft.com/office/drawing/2014/main" id="{00000000-0008-0000-0000-0000F3000000}"/>
                </a:ext>
              </a:extLst>
            </xdr:cNvPr>
            <xdr:cNvSpPr>
              <a:spLocks noChangeArrowheads="1"/>
            </xdr:cNvSpPr>
          </xdr:nvSpPr>
          <xdr:spPr bwMode="auto">
            <a:xfrm>
              <a:off x="89" y="956"/>
              <a:ext cx="22" cy="14"/>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grpSp>
          <xdr:nvGrpSpPr>
            <xdr:cNvPr id="244" name="Group 280">
              <a:extLst>
                <a:ext uri="{FF2B5EF4-FFF2-40B4-BE49-F238E27FC236}">
                  <a16:creationId xmlns:a16="http://schemas.microsoft.com/office/drawing/2014/main" id="{00000000-0008-0000-0000-0000F4000000}"/>
                </a:ext>
              </a:extLst>
            </xdr:cNvPr>
            <xdr:cNvGrpSpPr>
              <a:grpSpLocks/>
            </xdr:cNvGrpSpPr>
          </xdr:nvGrpSpPr>
          <xdr:grpSpPr bwMode="auto">
            <a:xfrm>
              <a:off x="20" y="956"/>
              <a:ext cx="22" cy="14"/>
              <a:chOff x="20" y="956"/>
              <a:chExt cx="22" cy="14"/>
            </a:xfrm>
          </xdr:grpSpPr>
          <xdr:sp macro="" textlink="">
            <xdr:nvSpPr>
              <xdr:cNvPr id="287" name="Rectangle 281" descr="25%">
                <a:extLst>
                  <a:ext uri="{FF2B5EF4-FFF2-40B4-BE49-F238E27FC236}">
                    <a16:creationId xmlns:a16="http://schemas.microsoft.com/office/drawing/2014/main" id="{00000000-0008-0000-0000-00001F010000}"/>
                  </a:ext>
                </a:extLst>
              </xdr:cNvPr>
              <xdr:cNvSpPr>
                <a:spLocks noChangeArrowheads="1"/>
              </xdr:cNvSpPr>
            </xdr:nvSpPr>
            <xdr:spPr bwMode="auto">
              <a:xfrm>
                <a:off x="20" y="956"/>
                <a:ext cx="22" cy="14"/>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288" name="Line 282">
                <a:extLst>
                  <a:ext uri="{FF2B5EF4-FFF2-40B4-BE49-F238E27FC236}">
                    <a16:creationId xmlns:a16="http://schemas.microsoft.com/office/drawing/2014/main" id="{00000000-0008-0000-0000-000020010000}"/>
                  </a:ext>
                </a:extLst>
              </xdr:cNvPr>
              <xdr:cNvSpPr>
                <a:spLocks noChangeShapeType="1"/>
              </xdr:cNvSpPr>
            </xdr:nvSpPr>
            <xdr:spPr bwMode="auto">
              <a:xfrm flipH="1">
                <a:off x="20" y="956"/>
                <a:ext cx="22"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9" name="Line 283">
                <a:extLst>
                  <a:ext uri="{FF2B5EF4-FFF2-40B4-BE49-F238E27FC236}">
                    <a16:creationId xmlns:a16="http://schemas.microsoft.com/office/drawing/2014/main" id="{00000000-0008-0000-0000-000021010000}"/>
                  </a:ext>
                </a:extLst>
              </xdr:cNvPr>
              <xdr:cNvSpPr>
                <a:spLocks noChangeShapeType="1"/>
              </xdr:cNvSpPr>
            </xdr:nvSpPr>
            <xdr:spPr bwMode="auto">
              <a:xfrm>
                <a:off x="20" y="956"/>
                <a:ext cx="22"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45" name="Freeform 284">
              <a:extLst>
                <a:ext uri="{FF2B5EF4-FFF2-40B4-BE49-F238E27FC236}">
                  <a16:creationId xmlns:a16="http://schemas.microsoft.com/office/drawing/2014/main" id="{00000000-0008-0000-0000-0000F5000000}"/>
                </a:ext>
              </a:extLst>
            </xdr:cNvPr>
            <xdr:cNvSpPr>
              <a:spLocks/>
            </xdr:cNvSpPr>
          </xdr:nvSpPr>
          <xdr:spPr bwMode="auto">
            <a:xfrm>
              <a:off x="37" y="970"/>
              <a:ext cx="19" cy="202"/>
            </a:xfrm>
            <a:custGeom>
              <a:avLst/>
              <a:gdLst>
                <a:gd name="T0" fmla="*/ 5 w 19"/>
                <a:gd name="T1" fmla="*/ 0 h 202"/>
                <a:gd name="T2" fmla="*/ 5 w 19"/>
                <a:gd name="T3" fmla="*/ 9 h 202"/>
                <a:gd name="T4" fmla="*/ 0 w 19"/>
                <a:gd name="T5" fmla="*/ 9 h 202"/>
                <a:gd name="T6" fmla="*/ 0 w 19"/>
                <a:gd name="T7" fmla="*/ 16 h 202"/>
                <a:gd name="T8" fmla="*/ 5 w 19"/>
                <a:gd name="T9" fmla="*/ 16 h 202"/>
                <a:gd name="T10" fmla="*/ 5 w 19"/>
                <a:gd name="T11" fmla="*/ 170 h 202"/>
                <a:gd name="T12" fmla="*/ 19 w 19"/>
                <a:gd name="T13" fmla="*/ 170 h 202"/>
                <a:gd name="T14" fmla="*/ 19 w 19"/>
                <a:gd name="T15" fmla="*/ 202 h 202"/>
                <a:gd name="T16" fmla="*/ 0 60000 65536"/>
                <a:gd name="T17" fmla="*/ 0 60000 65536"/>
                <a:gd name="T18" fmla="*/ 0 60000 65536"/>
                <a:gd name="T19" fmla="*/ 0 60000 65536"/>
                <a:gd name="T20" fmla="*/ 0 60000 65536"/>
                <a:gd name="T21" fmla="*/ 0 60000 65536"/>
                <a:gd name="T22" fmla="*/ 0 60000 65536"/>
                <a:gd name="T23" fmla="*/ 0 60000 65536"/>
                <a:gd name="T24" fmla="*/ 0 w 19"/>
                <a:gd name="T25" fmla="*/ 0 h 202"/>
                <a:gd name="T26" fmla="*/ 19 w 19"/>
                <a:gd name="T27" fmla="*/ 202 h 20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9" h="202">
                  <a:moveTo>
                    <a:pt x="5" y="0"/>
                  </a:moveTo>
                  <a:lnTo>
                    <a:pt x="5" y="9"/>
                  </a:lnTo>
                  <a:lnTo>
                    <a:pt x="0" y="9"/>
                  </a:lnTo>
                  <a:lnTo>
                    <a:pt x="0" y="16"/>
                  </a:lnTo>
                  <a:lnTo>
                    <a:pt x="5" y="16"/>
                  </a:lnTo>
                  <a:lnTo>
                    <a:pt x="5" y="170"/>
                  </a:lnTo>
                  <a:lnTo>
                    <a:pt x="19" y="170"/>
                  </a:lnTo>
                  <a:lnTo>
                    <a:pt x="19" y="20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6" name="Rectangle 285">
              <a:extLst>
                <a:ext uri="{FF2B5EF4-FFF2-40B4-BE49-F238E27FC236}">
                  <a16:creationId xmlns:a16="http://schemas.microsoft.com/office/drawing/2014/main" id="{00000000-0008-0000-0000-0000F6000000}"/>
                </a:ext>
              </a:extLst>
            </xdr:cNvPr>
            <xdr:cNvSpPr>
              <a:spLocks noChangeArrowheads="1"/>
            </xdr:cNvSpPr>
          </xdr:nvSpPr>
          <xdr:spPr bwMode="auto">
            <a:xfrm>
              <a:off x="50" y="1150"/>
              <a:ext cx="6" cy="11"/>
            </a:xfrm>
            <a:prstGeom prst="rect">
              <a:avLst/>
            </a:prstGeom>
            <a:solidFill>
              <a:srgbClr val="000000"/>
            </a:solidFill>
            <a:ln w="9525">
              <a:solidFill>
                <a:srgbClr val="000000"/>
              </a:solidFill>
              <a:miter lim="800000"/>
              <a:headEnd/>
              <a:tailEnd/>
            </a:ln>
          </xdr:spPr>
        </xdr:sp>
        <xdr:grpSp>
          <xdr:nvGrpSpPr>
            <xdr:cNvPr id="247" name="Group 286">
              <a:extLst>
                <a:ext uri="{FF2B5EF4-FFF2-40B4-BE49-F238E27FC236}">
                  <a16:creationId xmlns:a16="http://schemas.microsoft.com/office/drawing/2014/main" id="{00000000-0008-0000-0000-0000F7000000}"/>
                </a:ext>
              </a:extLst>
            </xdr:cNvPr>
            <xdr:cNvGrpSpPr>
              <a:grpSpLocks/>
            </xdr:cNvGrpSpPr>
          </xdr:nvGrpSpPr>
          <xdr:grpSpPr bwMode="auto">
            <a:xfrm>
              <a:off x="20" y="1148"/>
              <a:ext cx="29" cy="15"/>
              <a:chOff x="29" y="1151"/>
              <a:chExt cx="22" cy="10"/>
            </a:xfrm>
          </xdr:grpSpPr>
          <xdr:sp macro="" textlink="">
            <xdr:nvSpPr>
              <xdr:cNvPr id="284" name="Rectangle 287" descr="25%">
                <a:extLst>
                  <a:ext uri="{FF2B5EF4-FFF2-40B4-BE49-F238E27FC236}">
                    <a16:creationId xmlns:a16="http://schemas.microsoft.com/office/drawing/2014/main" id="{00000000-0008-0000-0000-00001C010000}"/>
                  </a:ext>
                </a:extLst>
              </xdr:cNvPr>
              <xdr:cNvSpPr>
                <a:spLocks noChangeArrowheads="1"/>
              </xdr:cNvSpPr>
            </xdr:nvSpPr>
            <xdr:spPr bwMode="auto">
              <a:xfrm>
                <a:off x="29" y="1151"/>
                <a:ext cx="22" cy="1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285" name="Line 288">
                <a:extLst>
                  <a:ext uri="{FF2B5EF4-FFF2-40B4-BE49-F238E27FC236}">
                    <a16:creationId xmlns:a16="http://schemas.microsoft.com/office/drawing/2014/main" id="{00000000-0008-0000-0000-00001D010000}"/>
                  </a:ext>
                </a:extLst>
              </xdr:cNvPr>
              <xdr:cNvSpPr>
                <a:spLocks noChangeShapeType="1"/>
              </xdr:cNvSpPr>
            </xdr:nvSpPr>
            <xdr:spPr bwMode="auto">
              <a:xfrm flipH="1">
                <a:off x="29" y="1151"/>
                <a:ext cx="22"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6" name="Line 289">
                <a:extLst>
                  <a:ext uri="{FF2B5EF4-FFF2-40B4-BE49-F238E27FC236}">
                    <a16:creationId xmlns:a16="http://schemas.microsoft.com/office/drawing/2014/main" id="{00000000-0008-0000-0000-00001E010000}"/>
                  </a:ext>
                </a:extLst>
              </xdr:cNvPr>
              <xdr:cNvSpPr>
                <a:spLocks noChangeShapeType="1"/>
              </xdr:cNvSpPr>
            </xdr:nvSpPr>
            <xdr:spPr bwMode="auto">
              <a:xfrm>
                <a:off x="29" y="1151"/>
                <a:ext cx="22"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248" name="Group 290">
              <a:extLst>
                <a:ext uri="{FF2B5EF4-FFF2-40B4-BE49-F238E27FC236}">
                  <a16:creationId xmlns:a16="http://schemas.microsoft.com/office/drawing/2014/main" id="{00000000-0008-0000-0000-0000F8000000}"/>
                </a:ext>
              </a:extLst>
            </xdr:cNvPr>
            <xdr:cNvGrpSpPr>
              <a:grpSpLocks/>
            </xdr:cNvGrpSpPr>
          </xdr:nvGrpSpPr>
          <xdr:grpSpPr bwMode="auto">
            <a:xfrm>
              <a:off x="35" y="1010"/>
              <a:ext cx="7" cy="71"/>
              <a:chOff x="35" y="1010"/>
              <a:chExt cx="7" cy="71"/>
            </a:xfrm>
          </xdr:grpSpPr>
          <xdr:grpSp>
            <xdr:nvGrpSpPr>
              <xdr:cNvPr id="272" name="Group 291">
                <a:extLst>
                  <a:ext uri="{FF2B5EF4-FFF2-40B4-BE49-F238E27FC236}">
                    <a16:creationId xmlns:a16="http://schemas.microsoft.com/office/drawing/2014/main" id="{00000000-0008-0000-0000-000010010000}"/>
                  </a:ext>
                </a:extLst>
              </xdr:cNvPr>
              <xdr:cNvGrpSpPr>
                <a:grpSpLocks/>
              </xdr:cNvGrpSpPr>
            </xdr:nvGrpSpPr>
            <xdr:grpSpPr bwMode="auto">
              <a:xfrm>
                <a:off x="35" y="1010"/>
                <a:ext cx="7" cy="49"/>
                <a:chOff x="35" y="1010"/>
                <a:chExt cx="7" cy="49"/>
              </a:xfrm>
            </xdr:grpSpPr>
            <xdr:sp macro="" textlink="">
              <xdr:nvSpPr>
                <xdr:cNvPr id="277" name="Rectangle 292">
                  <a:extLst>
                    <a:ext uri="{FF2B5EF4-FFF2-40B4-BE49-F238E27FC236}">
                      <a16:creationId xmlns:a16="http://schemas.microsoft.com/office/drawing/2014/main" id="{00000000-0008-0000-0000-000015010000}"/>
                    </a:ext>
                  </a:extLst>
                </xdr:cNvPr>
                <xdr:cNvSpPr>
                  <a:spLocks noChangeArrowheads="1"/>
                </xdr:cNvSpPr>
              </xdr:nvSpPr>
              <xdr:spPr bwMode="auto">
                <a:xfrm>
                  <a:off x="35" y="1010"/>
                  <a:ext cx="7" cy="49"/>
                </a:xfrm>
                <a:prstGeom prst="rect">
                  <a:avLst/>
                </a:prstGeom>
                <a:solidFill>
                  <a:srgbClr val="FFFFFF"/>
                </a:solidFill>
                <a:ln w="9525">
                  <a:solidFill>
                    <a:srgbClr val="000000"/>
                  </a:solidFill>
                  <a:miter lim="800000"/>
                  <a:headEnd/>
                  <a:tailEnd/>
                </a:ln>
              </xdr:spPr>
            </xdr:sp>
            <xdr:sp macro="" textlink="">
              <xdr:nvSpPr>
                <xdr:cNvPr id="278" name="Oval 293">
                  <a:extLst>
                    <a:ext uri="{FF2B5EF4-FFF2-40B4-BE49-F238E27FC236}">
                      <a16:creationId xmlns:a16="http://schemas.microsoft.com/office/drawing/2014/main" id="{00000000-0008-0000-0000-000016010000}"/>
                    </a:ext>
                  </a:extLst>
                </xdr:cNvPr>
                <xdr:cNvSpPr>
                  <a:spLocks noChangeArrowheads="1"/>
                </xdr:cNvSpPr>
              </xdr:nvSpPr>
              <xdr:spPr bwMode="auto">
                <a:xfrm>
                  <a:off x="37" y="1012"/>
                  <a:ext cx="3" cy="4"/>
                </a:xfrm>
                <a:prstGeom prst="ellipse">
                  <a:avLst/>
                </a:prstGeom>
                <a:solidFill>
                  <a:srgbClr val="FFFFFF"/>
                </a:solidFill>
                <a:ln w="9525">
                  <a:solidFill>
                    <a:srgbClr val="000000"/>
                  </a:solidFill>
                  <a:round/>
                  <a:headEnd/>
                  <a:tailEnd/>
                </a:ln>
              </xdr:spPr>
            </xdr:sp>
            <xdr:sp macro="" textlink="">
              <xdr:nvSpPr>
                <xdr:cNvPr id="279" name="Oval 294">
                  <a:extLst>
                    <a:ext uri="{FF2B5EF4-FFF2-40B4-BE49-F238E27FC236}">
                      <a16:creationId xmlns:a16="http://schemas.microsoft.com/office/drawing/2014/main" id="{00000000-0008-0000-0000-000017010000}"/>
                    </a:ext>
                  </a:extLst>
                </xdr:cNvPr>
                <xdr:cNvSpPr>
                  <a:spLocks noChangeArrowheads="1"/>
                </xdr:cNvSpPr>
              </xdr:nvSpPr>
              <xdr:spPr bwMode="auto">
                <a:xfrm>
                  <a:off x="37" y="1020"/>
                  <a:ext cx="3" cy="4"/>
                </a:xfrm>
                <a:prstGeom prst="ellipse">
                  <a:avLst/>
                </a:prstGeom>
                <a:solidFill>
                  <a:srgbClr val="FFFFFF"/>
                </a:solidFill>
                <a:ln w="9525">
                  <a:solidFill>
                    <a:srgbClr val="000000"/>
                  </a:solidFill>
                  <a:round/>
                  <a:headEnd/>
                  <a:tailEnd/>
                </a:ln>
              </xdr:spPr>
            </xdr:sp>
            <xdr:sp macro="" textlink="">
              <xdr:nvSpPr>
                <xdr:cNvPr id="280" name="Oval 295">
                  <a:extLst>
                    <a:ext uri="{FF2B5EF4-FFF2-40B4-BE49-F238E27FC236}">
                      <a16:creationId xmlns:a16="http://schemas.microsoft.com/office/drawing/2014/main" id="{00000000-0008-0000-0000-000018010000}"/>
                    </a:ext>
                  </a:extLst>
                </xdr:cNvPr>
                <xdr:cNvSpPr>
                  <a:spLocks noChangeArrowheads="1"/>
                </xdr:cNvSpPr>
              </xdr:nvSpPr>
              <xdr:spPr bwMode="auto">
                <a:xfrm>
                  <a:off x="37" y="1028"/>
                  <a:ext cx="3" cy="4"/>
                </a:xfrm>
                <a:prstGeom prst="ellipse">
                  <a:avLst/>
                </a:prstGeom>
                <a:solidFill>
                  <a:srgbClr val="FFFFFF"/>
                </a:solidFill>
                <a:ln w="9525">
                  <a:solidFill>
                    <a:srgbClr val="000000"/>
                  </a:solidFill>
                  <a:round/>
                  <a:headEnd/>
                  <a:tailEnd/>
                </a:ln>
              </xdr:spPr>
            </xdr:sp>
            <xdr:sp macro="" textlink="">
              <xdr:nvSpPr>
                <xdr:cNvPr id="281" name="Oval 296">
                  <a:extLst>
                    <a:ext uri="{FF2B5EF4-FFF2-40B4-BE49-F238E27FC236}">
                      <a16:creationId xmlns:a16="http://schemas.microsoft.com/office/drawing/2014/main" id="{00000000-0008-0000-0000-000019010000}"/>
                    </a:ext>
                  </a:extLst>
                </xdr:cNvPr>
                <xdr:cNvSpPr>
                  <a:spLocks noChangeArrowheads="1"/>
                </xdr:cNvSpPr>
              </xdr:nvSpPr>
              <xdr:spPr bwMode="auto">
                <a:xfrm>
                  <a:off x="37" y="1036"/>
                  <a:ext cx="3" cy="4"/>
                </a:xfrm>
                <a:prstGeom prst="ellipse">
                  <a:avLst/>
                </a:prstGeom>
                <a:solidFill>
                  <a:srgbClr val="FFFFFF"/>
                </a:solidFill>
                <a:ln w="9525">
                  <a:solidFill>
                    <a:srgbClr val="000000"/>
                  </a:solidFill>
                  <a:round/>
                  <a:headEnd/>
                  <a:tailEnd/>
                </a:ln>
              </xdr:spPr>
            </xdr:sp>
            <xdr:sp macro="" textlink="">
              <xdr:nvSpPr>
                <xdr:cNvPr id="282" name="Oval 297">
                  <a:extLst>
                    <a:ext uri="{FF2B5EF4-FFF2-40B4-BE49-F238E27FC236}">
                      <a16:creationId xmlns:a16="http://schemas.microsoft.com/office/drawing/2014/main" id="{00000000-0008-0000-0000-00001A010000}"/>
                    </a:ext>
                  </a:extLst>
                </xdr:cNvPr>
                <xdr:cNvSpPr>
                  <a:spLocks noChangeArrowheads="1"/>
                </xdr:cNvSpPr>
              </xdr:nvSpPr>
              <xdr:spPr bwMode="auto">
                <a:xfrm>
                  <a:off x="37" y="1044"/>
                  <a:ext cx="3" cy="4"/>
                </a:xfrm>
                <a:prstGeom prst="ellipse">
                  <a:avLst/>
                </a:prstGeom>
                <a:solidFill>
                  <a:srgbClr val="FFFFFF"/>
                </a:solidFill>
                <a:ln w="9525">
                  <a:solidFill>
                    <a:srgbClr val="000000"/>
                  </a:solidFill>
                  <a:round/>
                  <a:headEnd/>
                  <a:tailEnd/>
                </a:ln>
              </xdr:spPr>
            </xdr:sp>
            <xdr:sp macro="" textlink="">
              <xdr:nvSpPr>
                <xdr:cNvPr id="283" name="Oval 298">
                  <a:extLst>
                    <a:ext uri="{FF2B5EF4-FFF2-40B4-BE49-F238E27FC236}">
                      <a16:creationId xmlns:a16="http://schemas.microsoft.com/office/drawing/2014/main" id="{00000000-0008-0000-0000-00001B010000}"/>
                    </a:ext>
                  </a:extLst>
                </xdr:cNvPr>
                <xdr:cNvSpPr>
                  <a:spLocks noChangeArrowheads="1"/>
                </xdr:cNvSpPr>
              </xdr:nvSpPr>
              <xdr:spPr bwMode="auto">
                <a:xfrm>
                  <a:off x="37" y="1052"/>
                  <a:ext cx="3" cy="4"/>
                </a:xfrm>
                <a:prstGeom prst="ellipse">
                  <a:avLst/>
                </a:prstGeom>
                <a:solidFill>
                  <a:srgbClr val="FFFFFF"/>
                </a:solidFill>
                <a:ln w="9525">
                  <a:solidFill>
                    <a:srgbClr val="000000"/>
                  </a:solidFill>
                  <a:round/>
                  <a:headEnd/>
                  <a:tailEnd/>
                </a:ln>
              </xdr:spPr>
            </xdr:sp>
          </xdr:grpSp>
          <xdr:grpSp>
            <xdr:nvGrpSpPr>
              <xdr:cNvPr id="273" name="Group 299">
                <a:extLst>
                  <a:ext uri="{FF2B5EF4-FFF2-40B4-BE49-F238E27FC236}">
                    <a16:creationId xmlns:a16="http://schemas.microsoft.com/office/drawing/2014/main" id="{00000000-0008-0000-0000-000011010000}"/>
                  </a:ext>
                </a:extLst>
              </xdr:cNvPr>
              <xdr:cNvGrpSpPr>
                <a:grpSpLocks/>
              </xdr:cNvGrpSpPr>
            </xdr:nvGrpSpPr>
            <xdr:grpSpPr bwMode="auto">
              <a:xfrm>
                <a:off x="35" y="1065"/>
                <a:ext cx="7" cy="16"/>
                <a:chOff x="35" y="1081"/>
                <a:chExt cx="7" cy="16"/>
              </a:xfrm>
            </xdr:grpSpPr>
            <xdr:sp macro="" textlink="">
              <xdr:nvSpPr>
                <xdr:cNvPr id="274" name="Rectangle 300">
                  <a:extLst>
                    <a:ext uri="{FF2B5EF4-FFF2-40B4-BE49-F238E27FC236}">
                      <a16:creationId xmlns:a16="http://schemas.microsoft.com/office/drawing/2014/main" id="{00000000-0008-0000-0000-000012010000}"/>
                    </a:ext>
                  </a:extLst>
                </xdr:cNvPr>
                <xdr:cNvSpPr>
                  <a:spLocks noChangeArrowheads="1"/>
                </xdr:cNvSpPr>
              </xdr:nvSpPr>
              <xdr:spPr bwMode="auto">
                <a:xfrm>
                  <a:off x="35" y="1081"/>
                  <a:ext cx="7" cy="16"/>
                </a:xfrm>
                <a:prstGeom prst="rect">
                  <a:avLst/>
                </a:prstGeom>
                <a:solidFill>
                  <a:srgbClr val="FFFFFF"/>
                </a:solidFill>
                <a:ln w="9525">
                  <a:solidFill>
                    <a:srgbClr val="000000"/>
                  </a:solidFill>
                  <a:miter lim="800000"/>
                  <a:headEnd/>
                  <a:tailEnd/>
                </a:ln>
              </xdr:spPr>
            </xdr:sp>
            <xdr:sp macro="" textlink="">
              <xdr:nvSpPr>
                <xdr:cNvPr id="275" name="Oval 301">
                  <a:extLst>
                    <a:ext uri="{FF2B5EF4-FFF2-40B4-BE49-F238E27FC236}">
                      <a16:creationId xmlns:a16="http://schemas.microsoft.com/office/drawing/2014/main" id="{00000000-0008-0000-0000-000013010000}"/>
                    </a:ext>
                  </a:extLst>
                </xdr:cNvPr>
                <xdr:cNvSpPr>
                  <a:spLocks noChangeArrowheads="1"/>
                </xdr:cNvSpPr>
              </xdr:nvSpPr>
              <xdr:spPr bwMode="auto">
                <a:xfrm>
                  <a:off x="37" y="1084"/>
                  <a:ext cx="3" cy="4"/>
                </a:xfrm>
                <a:prstGeom prst="ellipse">
                  <a:avLst/>
                </a:prstGeom>
                <a:solidFill>
                  <a:srgbClr val="FFFFFF"/>
                </a:solidFill>
                <a:ln w="9525">
                  <a:solidFill>
                    <a:srgbClr val="000000"/>
                  </a:solidFill>
                  <a:round/>
                  <a:headEnd/>
                  <a:tailEnd/>
                </a:ln>
              </xdr:spPr>
            </xdr:sp>
            <xdr:sp macro="" textlink="">
              <xdr:nvSpPr>
                <xdr:cNvPr id="276" name="Oval 302">
                  <a:extLst>
                    <a:ext uri="{FF2B5EF4-FFF2-40B4-BE49-F238E27FC236}">
                      <a16:creationId xmlns:a16="http://schemas.microsoft.com/office/drawing/2014/main" id="{00000000-0008-0000-0000-000014010000}"/>
                    </a:ext>
                  </a:extLst>
                </xdr:cNvPr>
                <xdr:cNvSpPr>
                  <a:spLocks noChangeArrowheads="1"/>
                </xdr:cNvSpPr>
              </xdr:nvSpPr>
              <xdr:spPr bwMode="auto">
                <a:xfrm>
                  <a:off x="37" y="1091"/>
                  <a:ext cx="3" cy="4"/>
                </a:xfrm>
                <a:prstGeom prst="ellipse">
                  <a:avLst/>
                </a:prstGeom>
                <a:solidFill>
                  <a:srgbClr val="FFFFFF"/>
                </a:solidFill>
                <a:ln w="9525">
                  <a:solidFill>
                    <a:srgbClr val="000000"/>
                  </a:solidFill>
                  <a:round/>
                  <a:headEnd/>
                  <a:tailEnd/>
                </a:ln>
              </xdr:spPr>
            </xdr:sp>
          </xdr:grpSp>
        </xdr:grpSp>
        <xdr:sp macro="" textlink="">
          <xdr:nvSpPr>
            <xdr:cNvPr id="249" name="Rectangle 303">
              <a:extLst>
                <a:ext uri="{FF2B5EF4-FFF2-40B4-BE49-F238E27FC236}">
                  <a16:creationId xmlns:a16="http://schemas.microsoft.com/office/drawing/2014/main" id="{00000000-0008-0000-0000-0000F9000000}"/>
                </a:ext>
              </a:extLst>
            </xdr:cNvPr>
            <xdr:cNvSpPr>
              <a:spLocks noChangeArrowheads="1"/>
            </xdr:cNvSpPr>
          </xdr:nvSpPr>
          <xdr:spPr bwMode="auto">
            <a:xfrm>
              <a:off x="43" y="1059"/>
              <a:ext cx="6" cy="6"/>
            </a:xfrm>
            <a:prstGeom prst="rect">
              <a:avLst/>
            </a:prstGeom>
            <a:solidFill>
              <a:srgbClr val="000000"/>
            </a:solidFill>
            <a:ln w="9525">
              <a:solidFill>
                <a:srgbClr val="000000"/>
              </a:solidFill>
              <a:miter lim="800000"/>
              <a:headEnd/>
              <a:tailEnd/>
            </a:ln>
          </xdr:spPr>
        </xdr:sp>
        <xdr:sp macro="" textlink="">
          <xdr:nvSpPr>
            <xdr:cNvPr id="250" name="Freeform 304">
              <a:extLst>
                <a:ext uri="{FF2B5EF4-FFF2-40B4-BE49-F238E27FC236}">
                  <a16:creationId xmlns:a16="http://schemas.microsoft.com/office/drawing/2014/main" id="{00000000-0008-0000-0000-0000FA000000}"/>
                </a:ext>
              </a:extLst>
            </xdr:cNvPr>
            <xdr:cNvSpPr>
              <a:spLocks/>
            </xdr:cNvSpPr>
          </xdr:nvSpPr>
          <xdr:spPr bwMode="auto">
            <a:xfrm flipH="1">
              <a:off x="75" y="970"/>
              <a:ext cx="19" cy="202"/>
            </a:xfrm>
            <a:custGeom>
              <a:avLst/>
              <a:gdLst>
                <a:gd name="T0" fmla="*/ 5 w 19"/>
                <a:gd name="T1" fmla="*/ 0 h 202"/>
                <a:gd name="T2" fmla="*/ 5 w 19"/>
                <a:gd name="T3" fmla="*/ 9 h 202"/>
                <a:gd name="T4" fmla="*/ 0 w 19"/>
                <a:gd name="T5" fmla="*/ 9 h 202"/>
                <a:gd name="T6" fmla="*/ 0 w 19"/>
                <a:gd name="T7" fmla="*/ 16 h 202"/>
                <a:gd name="T8" fmla="*/ 5 w 19"/>
                <a:gd name="T9" fmla="*/ 16 h 202"/>
                <a:gd name="T10" fmla="*/ 5 w 19"/>
                <a:gd name="T11" fmla="*/ 170 h 202"/>
                <a:gd name="T12" fmla="*/ 19 w 19"/>
                <a:gd name="T13" fmla="*/ 170 h 202"/>
                <a:gd name="T14" fmla="*/ 19 w 19"/>
                <a:gd name="T15" fmla="*/ 202 h 202"/>
                <a:gd name="T16" fmla="*/ 0 60000 65536"/>
                <a:gd name="T17" fmla="*/ 0 60000 65536"/>
                <a:gd name="T18" fmla="*/ 0 60000 65536"/>
                <a:gd name="T19" fmla="*/ 0 60000 65536"/>
                <a:gd name="T20" fmla="*/ 0 60000 65536"/>
                <a:gd name="T21" fmla="*/ 0 60000 65536"/>
                <a:gd name="T22" fmla="*/ 0 60000 65536"/>
                <a:gd name="T23" fmla="*/ 0 60000 65536"/>
                <a:gd name="T24" fmla="*/ 0 w 19"/>
                <a:gd name="T25" fmla="*/ 0 h 202"/>
                <a:gd name="T26" fmla="*/ 19 w 19"/>
                <a:gd name="T27" fmla="*/ 202 h 20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9" h="202">
                  <a:moveTo>
                    <a:pt x="5" y="0"/>
                  </a:moveTo>
                  <a:lnTo>
                    <a:pt x="5" y="9"/>
                  </a:lnTo>
                  <a:lnTo>
                    <a:pt x="0" y="9"/>
                  </a:lnTo>
                  <a:lnTo>
                    <a:pt x="0" y="16"/>
                  </a:lnTo>
                  <a:lnTo>
                    <a:pt x="5" y="16"/>
                  </a:lnTo>
                  <a:lnTo>
                    <a:pt x="5" y="170"/>
                  </a:lnTo>
                  <a:lnTo>
                    <a:pt x="19" y="170"/>
                  </a:lnTo>
                  <a:lnTo>
                    <a:pt x="19" y="202"/>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nvGrpSpPr>
            <xdr:cNvPr id="251" name="Group 305">
              <a:extLst>
                <a:ext uri="{FF2B5EF4-FFF2-40B4-BE49-F238E27FC236}">
                  <a16:creationId xmlns:a16="http://schemas.microsoft.com/office/drawing/2014/main" id="{00000000-0008-0000-0000-0000FB000000}"/>
                </a:ext>
              </a:extLst>
            </xdr:cNvPr>
            <xdr:cNvGrpSpPr>
              <a:grpSpLocks/>
            </xdr:cNvGrpSpPr>
          </xdr:nvGrpSpPr>
          <xdr:grpSpPr bwMode="auto">
            <a:xfrm>
              <a:off x="89" y="1010"/>
              <a:ext cx="7" cy="71"/>
              <a:chOff x="35" y="1010"/>
              <a:chExt cx="7" cy="71"/>
            </a:xfrm>
          </xdr:grpSpPr>
          <xdr:grpSp>
            <xdr:nvGrpSpPr>
              <xdr:cNvPr id="260" name="Group 306">
                <a:extLst>
                  <a:ext uri="{FF2B5EF4-FFF2-40B4-BE49-F238E27FC236}">
                    <a16:creationId xmlns:a16="http://schemas.microsoft.com/office/drawing/2014/main" id="{00000000-0008-0000-0000-000004010000}"/>
                  </a:ext>
                </a:extLst>
              </xdr:cNvPr>
              <xdr:cNvGrpSpPr>
                <a:grpSpLocks/>
              </xdr:cNvGrpSpPr>
            </xdr:nvGrpSpPr>
            <xdr:grpSpPr bwMode="auto">
              <a:xfrm>
                <a:off x="35" y="1010"/>
                <a:ext cx="7" cy="49"/>
                <a:chOff x="35" y="1010"/>
                <a:chExt cx="7" cy="49"/>
              </a:xfrm>
            </xdr:grpSpPr>
            <xdr:sp macro="" textlink="">
              <xdr:nvSpPr>
                <xdr:cNvPr id="265" name="Rectangle 307">
                  <a:extLst>
                    <a:ext uri="{FF2B5EF4-FFF2-40B4-BE49-F238E27FC236}">
                      <a16:creationId xmlns:a16="http://schemas.microsoft.com/office/drawing/2014/main" id="{00000000-0008-0000-0000-000009010000}"/>
                    </a:ext>
                  </a:extLst>
                </xdr:cNvPr>
                <xdr:cNvSpPr>
                  <a:spLocks noChangeArrowheads="1"/>
                </xdr:cNvSpPr>
              </xdr:nvSpPr>
              <xdr:spPr bwMode="auto">
                <a:xfrm>
                  <a:off x="35" y="1010"/>
                  <a:ext cx="7" cy="49"/>
                </a:xfrm>
                <a:prstGeom prst="rect">
                  <a:avLst/>
                </a:prstGeom>
                <a:solidFill>
                  <a:srgbClr val="FFFFFF"/>
                </a:solidFill>
                <a:ln w="9525">
                  <a:solidFill>
                    <a:srgbClr val="000000"/>
                  </a:solidFill>
                  <a:miter lim="800000"/>
                  <a:headEnd/>
                  <a:tailEnd/>
                </a:ln>
              </xdr:spPr>
            </xdr:sp>
            <xdr:sp macro="" textlink="">
              <xdr:nvSpPr>
                <xdr:cNvPr id="266" name="Oval 308">
                  <a:extLst>
                    <a:ext uri="{FF2B5EF4-FFF2-40B4-BE49-F238E27FC236}">
                      <a16:creationId xmlns:a16="http://schemas.microsoft.com/office/drawing/2014/main" id="{00000000-0008-0000-0000-00000A010000}"/>
                    </a:ext>
                  </a:extLst>
                </xdr:cNvPr>
                <xdr:cNvSpPr>
                  <a:spLocks noChangeArrowheads="1"/>
                </xdr:cNvSpPr>
              </xdr:nvSpPr>
              <xdr:spPr bwMode="auto">
                <a:xfrm>
                  <a:off x="37" y="1012"/>
                  <a:ext cx="3" cy="4"/>
                </a:xfrm>
                <a:prstGeom prst="ellipse">
                  <a:avLst/>
                </a:prstGeom>
                <a:solidFill>
                  <a:srgbClr val="FFFFFF"/>
                </a:solidFill>
                <a:ln w="9525">
                  <a:solidFill>
                    <a:srgbClr val="000000"/>
                  </a:solidFill>
                  <a:round/>
                  <a:headEnd/>
                  <a:tailEnd/>
                </a:ln>
              </xdr:spPr>
            </xdr:sp>
            <xdr:sp macro="" textlink="">
              <xdr:nvSpPr>
                <xdr:cNvPr id="267" name="Oval 309">
                  <a:extLst>
                    <a:ext uri="{FF2B5EF4-FFF2-40B4-BE49-F238E27FC236}">
                      <a16:creationId xmlns:a16="http://schemas.microsoft.com/office/drawing/2014/main" id="{00000000-0008-0000-0000-00000B010000}"/>
                    </a:ext>
                  </a:extLst>
                </xdr:cNvPr>
                <xdr:cNvSpPr>
                  <a:spLocks noChangeArrowheads="1"/>
                </xdr:cNvSpPr>
              </xdr:nvSpPr>
              <xdr:spPr bwMode="auto">
                <a:xfrm>
                  <a:off x="37" y="1020"/>
                  <a:ext cx="3" cy="4"/>
                </a:xfrm>
                <a:prstGeom prst="ellipse">
                  <a:avLst/>
                </a:prstGeom>
                <a:solidFill>
                  <a:srgbClr val="FFFFFF"/>
                </a:solidFill>
                <a:ln w="9525">
                  <a:solidFill>
                    <a:srgbClr val="000000"/>
                  </a:solidFill>
                  <a:round/>
                  <a:headEnd/>
                  <a:tailEnd/>
                </a:ln>
              </xdr:spPr>
            </xdr:sp>
            <xdr:sp macro="" textlink="">
              <xdr:nvSpPr>
                <xdr:cNvPr id="268" name="Oval 310">
                  <a:extLst>
                    <a:ext uri="{FF2B5EF4-FFF2-40B4-BE49-F238E27FC236}">
                      <a16:creationId xmlns:a16="http://schemas.microsoft.com/office/drawing/2014/main" id="{00000000-0008-0000-0000-00000C010000}"/>
                    </a:ext>
                  </a:extLst>
                </xdr:cNvPr>
                <xdr:cNvSpPr>
                  <a:spLocks noChangeArrowheads="1"/>
                </xdr:cNvSpPr>
              </xdr:nvSpPr>
              <xdr:spPr bwMode="auto">
                <a:xfrm>
                  <a:off x="37" y="1028"/>
                  <a:ext cx="3" cy="4"/>
                </a:xfrm>
                <a:prstGeom prst="ellipse">
                  <a:avLst/>
                </a:prstGeom>
                <a:solidFill>
                  <a:srgbClr val="FFFFFF"/>
                </a:solidFill>
                <a:ln w="9525">
                  <a:solidFill>
                    <a:srgbClr val="000000"/>
                  </a:solidFill>
                  <a:round/>
                  <a:headEnd/>
                  <a:tailEnd/>
                </a:ln>
              </xdr:spPr>
            </xdr:sp>
            <xdr:sp macro="" textlink="">
              <xdr:nvSpPr>
                <xdr:cNvPr id="269" name="Oval 311">
                  <a:extLst>
                    <a:ext uri="{FF2B5EF4-FFF2-40B4-BE49-F238E27FC236}">
                      <a16:creationId xmlns:a16="http://schemas.microsoft.com/office/drawing/2014/main" id="{00000000-0008-0000-0000-00000D010000}"/>
                    </a:ext>
                  </a:extLst>
                </xdr:cNvPr>
                <xdr:cNvSpPr>
                  <a:spLocks noChangeArrowheads="1"/>
                </xdr:cNvSpPr>
              </xdr:nvSpPr>
              <xdr:spPr bwMode="auto">
                <a:xfrm>
                  <a:off x="37" y="1036"/>
                  <a:ext cx="3" cy="4"/>
                </a:xfrm>
                <a:prstGeom prst="ellipse">
                  <a:avLst/>
                </a:prstGeom>
                <a:solidFill>
                  <a:srgbClr val="FFFFFF"/>
                </a:solidFill>
                <a:ln w="9525">
                  <a:solidFill>
                    <a:srgbClr val="000000"/>
                  </a:solidFill>
                  <a:round/>
                  <a:headEnd/>
                  <a:tailEnd/>
                </a:ln>
              </xdr:spPr>
            </xdr:sp>
            <xdr:sp macro="" textlink="">
              <xdr:nvSpPr>
                <xdr:cNvPr id="270" name="Oval 312">
                  <a:extLst>
                    <a:ext uri="{FF2B5EF4-FFF2-40B4-BE49-F238E27FC236}">
                      <a16:creationId xmlns:a16="http://schemas.microsoft.com/office/drawing/2014/main" id="{00000000-0008-0000-0000-00000E010000}"/>
                    </a:ext>
                  </a:extLst>
                </xdr:cNvPr>
                <xdr:cNvSpPr>
                  <a:spLocks noChangeArrowheads="1"/>
                </xdr:cNvSpPr>
              </xdr:nvSpPr>
              <xdr:spPr bwMode="auto">
                <a:xfrm>
                  <a:off x="37" y="1044"/>
                  <a:ext cx="3" cy="4"/>
                </a:xfrm>
                <a:prstGeom prst="ellipse">
                  <a:avLst/>
                </a:prstGeom>
                <a:solidFill>
                  <a:srgbClr val="FFFFFF"/>
                </a:solidFill>
                <a:ln w="9525">
                  <a:solidFill>
                    <a:srgbClr val="000000"/>
                  </a:solidFill>
                  <a:round/>
                  <a:headEnd/>
                  <a:tailEnd/>
                </a:ln>
              </xdr:spPr>
            </xdr:sp>
            <xdr:sp macro="" textlink="">
              <xdr:nvSpPr>
                <xdr:cNvPr id="271" name="Oval 313">
                  <a:extLst>
                    <a:ext uri="{FF2B5EF4-FFF2-40B4-BE49-F238E27FC236}">
                      <a16:creationId xmlns:a16="http://schemas.microsoft.com/office/drawing/2014/main" id="{00000000-0008-0000-0000-00000F010000}"/>
                    </a:ext>
                  </a:extLst>
                </xdr:cNvPr>
                <xdr:cNvSpPr>
                  <a:spLocks noChangeArrowheads="1"/>
                </xdr:cNvSpPr>
              </xdr:nvSpPr>
              <xdr:spPr bwMode="auto">
                <a:xfrm>
                  <a:off x="37" y="1052"/>
                  <a:ext cx="3" cy="4"/>
                </a:xfrm>
                <a:prstGeom prst="ellipse">
                  <a:avLst/>
                </a:prstGeom>
                <a:solidFill>
                  <a:srgbClr val="FFFFFF"/>
                </a:solidFill>
                <a:ln w="9525">
                  <a:solidFill>
                    <a:srgbClr val="000000"/>
                  </a:solidFill>
                  <a:round/>
                  <a:headEnd/>
                  <a:tailEnd/>
                </a:ln>
              </xdr:spPr>
            </xdr:sp>
          </xdr:grpSp>
          <xdr:grpSp>
            <xdr:nvGrpSpPr>
              <xdr:cNvPr id="261" name="Group 314">
                <a:extLst>
                  <a:ext uri="{FF2B5EF4-FFF2-40B4-BE49-F238E27FC236}">
                    <a16:creationId xmlns:a16="http://schemas.microsoft.com/office/drawing/2014/main" id="{00000000-0008-0000-0000-000005010000}"/>
                  </a:ext>
                </a:extLst>
              </xdr:cNvPr>
              <xdr:cNvGrpSpPr>
                <a:grpSpLocks/>
              </xdr:cNvGrpSpPr>
            </xdr:nvGrpSpPr>
            <xdr:grpSpPr bwMode="auto">
              <a:xfrm>
                <a:off x="35" y="1065"/>
                <a:ext cx="7" cy="16"/>
                <a:chOff x="35" y="1081"/>
                <a:chExt cx="7" cy="16"/>
              </a:xfrm>
            </xdr:grpSpPr>
            <xdr:sp macro="" textlink="">
              <xdr:nvSpPr>
                <xdr:cNvPr id="262" name="Rectangle 315">
                  <a:extLst>
                    <a:ext uri="{FF2B5EF4-FFF2-40B4-BE49-F238E27FC236}">
                      <a16:creationId xmlns:a16="http://schemas.microsoft.com/office/drawing/2014/main" id="{00000000-0008-0000-0000-000006010000}"/>
                    </a:ext>
                  </a:extLst>
                </xdr:cNvPr>
                <xdr:cNvSpPr>
                  <a:spLocks noChangeArrowheads="1"/>
                </xdr:cNvSpPr>
              </xdr:nvSpPr>
              <xdr:spPr bwMode="auto">
                <a:xfrm>
                  <a:off x="35" y="1081"/>
                  <a:ext cx="7" cy="16"/>
                </a:xfrm>
                <a:prstGeom prst="rect">
                  <a:avLst/>
                </a:prstGeom>
                <a:solidFill>
                  <a:srgbClr val="FFFFFF"/>
                </a:solidFill>
                <a:ln w="9525">
                  <a:solidFill>
                    <a:srgbClr val="000000"/>
                  </a:solidFill>
                  <a:miter lim="800000"/>
                  <a:headEnd/>
                  <a:tailEnd/>
                </a:ln>
              </xdr:spPr>
            </xdr:sp>
            <xdr:sp macro="" textlink="">
              <xdr:nvSpPr>
                <xdr:cNvPr id="263" name="Oval 316">
                  <a:extLst>
                    <a:ext uri="{FF2B5EF4-FFF2-40B4-BE49-F238E27FC236}">
                      <a16:creationId xmlns:a16="http://schemas.microsoft.com/office/drawing/2014/main" id="{00000000-0008-0000-0000-000007010000}"/>
                    </a:ext>
                  </a:extLst>
                </xdr:cNvPr>
                <xdr:cNvSpPr>
                  <a:spLocks noChangeArrowheads="1"/>
                </xdr:cNvSpPr>
              </xdr:nvSpPr>
              <xdr:spPr bwMode="auto">
                <a:xfrm>
                  <a:off x="37" y="1084"/>
                  <a:ext cx="3" cy="4"/>
                </a:xfrm>
                <a:prstGeom prst="ellipse">
                  <a:avLst/>
                </a:prstGeom>
                <a:solidFill>
                  <a:srgbClr val="FFFFFF"/>
                </a:solidFill>
                <a:ln w="9525">
                  <a:solidFill>
                    <a:srgbClr val="000000"/>
                  </a:solidFill>
                  <a:round/>
                  <a:headEnd/>
                  <a:tailEnd/>
                </a:ln>
              </xdr:spPr>
            </xdr:sp>
            <xdr:sp macro="" textlink="">
              <xdr:nvSpPr>
                <xdr:cNvPr id="264" name="Oval 317">
                  <a:extLst>
                    <a:ext uri="{FF2B5EF4-FFF2-40B4-BE49-F238E27FC236}">
                      <a16:creationId xmlns:a16="http://schemas.microsoft.com/office/drawing/2014/main" id="{00000000-0008-0000-0000-000008010000}"/>
                    </a:ext>
                  </a:extLst>
                </xdr:cNvPr>
                <xdr:cNvSpPr>
                  <a:spLocks noChangeArrowheads="1"/>
                </xdr:cNvSpPr>
              </xdr:nvSpPr>
              <xdr:spPr bwMode="auto">
                <a:xfrm>
                  <a:off x="37" y="1091"/>
                  <a:ext cx="3" cy="4"/>
                </a:xfrm>
                <a:prstGeom prst="ellipse">
                  <a:avLst/>
                </a:prstGeom>
                <a:solidFill>
                  <a:srgbClr val="FFFFFF"/>
                </a:solidFill>
                <a:ln w="9525">
                  <a:solidFill>
                    <a:srgbClr val="000000"/>
                  </a:solidFill>
                  <a:round/>
                  <a:headEnd/>
                  <a:tailEnd/>
                </a:ln>
              </xdr:spPr>
            </xdr:sp>
          </xdr:grpSp>
        </xdr:grpSp>
        <xdr:sp macro="" textlink="">
          <xdr:nvSpPr>
            <xdr:cNvPr id="252" name="Rectangle 318">
              <a:extLst>
                <a:ext uri="{FF2B5EF4-FFF2-40B4-BE49-F238E27FC236}">
                  <a16:creationId xmlns:a16="http://schemas.microsoft.com/office/drawing/2014/main" id="{00000000-0008-0000-0000-0000FC000000}"/>
                </a:ext>
              </a:extLst>
            </xdr:cNvPr>
            <xdr:cNvSpPr>
              <a:spLocks noChangeArrowheads="1"/>
            </xdr:cNvSpPr>
          </xdr:nvSpPr>
          <xdr:spPr bwMode="auto">
            <a:xfrm>
              <a:off x="83" y="1059"/>
              <a:ext cx="6" cy="6"/>
            </a:xfrm>
            <a:prstGeom prst="rect">
              <a:avLst/>
            </a:prstGeom>
            <a:solidFill>
              <a:srgbClr val="000000"/>
            </a:solidFill>
            <a:ln w="9525">
              <a:solidFill>
                <a:srgbClr val="000000"/>
              </a:solidFill>
              <a:miter lim="800000"/>
              <a:headEnd/>
              <a:tailEnd/>
            </a:ln>
          </xdr:spPr>
        </xdr:sp>
        <xdr:sp macro="" textlink="">
          <xdr:nvSpPr>
            <xdr:cNvPr id="253" name="Rectangle 319" descr="Narrow horizontal">
              <a:extLst>
                <a:ext uri="{FF2B5EF4-FFF2-40B4-BE49-F238E27FC236}">
                  <a16:creationId xmlns:a16="http://schemas.microsoft.com/office/drawing/2014/main" id="{00000000-0008-0000-0000-0000FD000000}"/>
                </a:ext>
              </a:extLst>
            </xdr:cNvPr>
            <xdr:cNvSpPr>
              <a:spLocks noChangeArrowheads="1"/>
            </xdr:cNvSpPr>
          </xdr:nvSpPr>
          <xdr:spPr bwMode="auto">
            <a:xfrm>
              <a:off x="13" y="1015"/>
              <a:ext cx="15" cy="65"/>
            </a:xfrm>
            <a:prstGeom prst="rect">
              <a:avLst/>
            </a:prstGeom>
            <a:blipFill dpi="0" rotWithShape="0">
              <a:blip xmlns:r="http://schemas.openxmlformats.org/officeDocument/2006/relationships" r:embed="rId5"/>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254" name="Group 320">
              <a:extLst>
                <a:ext uri="{FF2B5EF4-FFF2-40B4-BE49-F238E27FC236}">
                  <a16:creationId xmlns:a16="http://schemas.microsoft.com/office/drawing/2014/main" id="{00000000-0008-0000-0000-0000FE000000}"/>
                </a:ext>
              </a:extLst>
            </xdr:cNvPr>
            <xdr:cNvGrpSpPr>
              <a:grpSpLocks/>
            </xdr:cNvGrpSpPr>
          </xdr:nvGrpSpPr>
          <xdr:grpSpPr bwMode="auto">
            <a:xfrm>
              <a:off x="82" y="1148"/>
              <a:ext cx="29" cy="15"/>
              <a:chOff x="29" y="1151"/>
              <a:chExt cx="22" cy="10"/>
            </a:xfrm>
          </xdr:grpSpPr>
          <xdr:sp macro="" textlink="">
            <xdr:nvSpPr>
              <xdr:cNvPr id="257" name="Rectangle 321" descr="25%">
                <a:extLst>
                  <a:ext uri="{FF2B5EF4-FFF2-40B4-BE49-F238E27FC236}">
                    <a16:creationId xmlns:a16="http://schemas.microsoft.com/office/drawing/2014/main" id="{00000000-0008-0000-0000-000001010000}"/>
                  </a:ext>
                </a:extLst>
              </xdr:cNvPr>
              <xdr:cNvSpPr>
                <a:spLocks noChangeArrowheads="1"/>
              </xdr:cNvSpPr>
            </xdr:nvSpPr>
            <xdr:spPr bwMode="auto">
              <a:xfrm>
                <a:off x="29" y="1151"/>
                <a:ext cx="22" cy="1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258" name="Line 322">
                <a:extLst>
                  <a:ext uri="{FF2B5EF4-FFF2-40B4-BE49-F238E27FC236}">
                    <a16:creationId xmlns:a16="http://schemas.microsoft.com/office/drawing/2014/main" id="{00000000-0008-0000-0000-000002010000}"/>
                  </a:ext>
                </a:extLst>
              </xdr:cNvPr>
              <xdr:cNvSpPr>
                <a:spLocks noChangeShapeType="1"/>
              </xdr:cNvSpPr>
            </xdr:nvSpPr>
            <xdr:spPr bwMode="auto">
              <a:xfrm flipH="1">
                <a:off x="29" y="1151"/>
                <a:ext cx="22"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59" name="Line 323">
                <a:extLst>
                  <a:ext uri="{FF2B5EF4-FFF2-40B4-BE49-F238E27FC236}">
                    <a16:creationId xmlns:a16="http://schemas.microsoft.com/office/drawing/2014/main" id="{00000000-0008-0000-0000-000003010000}"/>
                  </a:ext>
                </a:extLst>
              </xdr:cNvPr>
              <xdr:cNvSpPr>
                <a:spLocks noChangeShapeType="1"/>
              </xdr:cNvSpPr>
            </xdr:nvSpPr>
            <xdr:spPr bwMode="auto">
              <a:xfrm>
                <a:off x="29" y="1151"/>
                <a:ext cx="22"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55" name="Rectangle 324">
              <a:extLst>
                <a:ext uri="{FF2B5EF4-FFF2-40B4-BE49-F238E27FC236}">
                  <a16:creationId xmlns:a16="http://schemas.microsoft.com/office/drawing/2014/main" id="{00000000-0008-0000-0000-0000FF000000}"/>
                </a:ext>
              </a:extLst>
            </xdr:cNvPr>
            <xdr:cNvSpPr>
              <a:spLocks noChangeArrowheads="1"/>
            </xdr:cNvSpPr>
          </xdr:nvSpPr>
          <xdr:spPr bwMode="auto">
            <a:xfrm>
              <a:off x="75" y="1151"/>
              <a:ext cx="6" cy="11"/>
            </a:xfrm>
            <a:prstGeom prst="rect">
              <a:avLst/>
            </a:prstGeom>
            <a:solidFill>
              <a:srgbClr val="000000"/>
            </a:solidFill>
            <a:ln w="9525">
              <a:solidFill>
                <a:srgbClr val="000000"/>
              </a:solidFill>
              <a:miter lim="800000"/>
              <a:headEnd/>
              <a:tailEnd/>
            </a:ln>
          </xdr:spPr>
        </xdr:sp>
        <xdr:sp macro="" textlink="">
          <xdr:nvSpPr>
            <xdr:cNvPr id="256" name="Rectangle 325" descr="Narrow horizontal">
              <a:extLst>
                <a:ext uri="{FF2B5EF4-FFF2-40B4-BE49-F238E27FC236}">
                  <a16:creationId xmlns:a16="http://schemas.microsoft.com/office/drawing/2014/main" id="{00000000-0008-0000-0000-000000010000}"/>
                </a:ext>
              </a:extLst>
            </xdr:cNvPr>
            <xdr:cNvSpPr>
              <a:spLocks noChangeArrowheads="1"/>
            </xdr:cNvSpPr>
          </xdr:nvSpPr>
          <xdr:spPr bwMode="auto">
            <a:xfrm>
              <a:off x="104" y="1015"/>
              <a:ext cx="15" cy="65"/>
            </a:xfrm>
            <a:prstGeom prst="rect">
              <a:avLst/>
            </a:prstGeom>
            <a:blipFill dpi="0" rotWithShape="0">
              <a:blip xmlns:r="http://schemas.openxmlformats.org/officeDocument/2006/relationships" r:embed="rId5"/>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239" name="Line 326">
            <a:extLst>
              <a:ext uri="{FF2B5EF4-FFF2-40B4-BE49-F238E27FC236}">
                <a16:creationId xmlns:a16="http://schemas.microsoft.com/office/drawing/2014/main" id="{00000000-0008-0000-0000-0000EF000000}"/>
              </a:ext>
            </a:extLst>
          </xdr:cNvPr>
          <xdr:cNvSpPr>
            <a:spLocks noChangeShapeType="1"/>
          </xdr:cNvSpPr>
        </xdr:nvSpPr>
        <xdr:spPr bwMode="auto">
          <a:xfrm flipH="1">
            <a:off x="90" y="972"/>
            <a:ext cx="21"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0" name="Line 327">
            <a:extLst>
              <a:ext uri="{FF2B5EF4-FFF2-40B4-BE49-F238E27FC236}">
                <a16:creationId xmlns:a16="http://schemas.microsoft.com/office/drawing/2014/main" id="{00000000-0008-0000-0000-0000F0000000}"/>
              </a:ext>
            </a:extLst>
          </xdr:cNvPr>
          <xdr:cNvSpPr>
            <a:spLocks noChangeShapeType="1"/>
          </xdr:cNvSpPr>
        </xdr:nvSpPr>
        <xdr:spPr bwMode="auto">
          <a:xfrm>
            <a:off x="89" y="972"/>
            <a:ext cx="22" cy="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oneCellAnchor>
    <xdr:from>
      <xdr:col>0</xdr:col>
      <xdr:colOff>857250</xdr:colOff>
      <xdr:row>41</xdr:row>
      <xdr:rowOff>9525</xdr:rowOff>
    </xdr:from>
    <xdr:ext cx="161070" cy="170560"/>
    <xdr:sp macro="" textlink="">
      <xdr:nvSpPr>
        <xdr:cNvPr id="290" name="Text Box 328">
          <a:extLst>
            <a:ext uri="{FF2B5EF4-FFF2-40B4-BE49-F238E27FC236}">
              <a16:creationId xmlns:a16="http://schemas.microsoft.com/office/drawing/2014/main" id="{00000000-0008-0000-0000-000022010000}"/>
            </a:ext>
          </a:extLst>
        </xdr:cNvPr>
        <xdr:cNvSpPr txBox="1">
          <a:spLocks noChangeArrowheads="1"/>
        </xdr:cNvSpPr>
      </xdr:nvSpPr>
      <xdr:spPr bwMode="auto">
        <a:xfrm>
          <a:off x="857250" y="782955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13</a:t>
          </a:r>
        </a:p>
      </xdr:txBody>
    </xdr:sp>
    <xdr:clientData/>
  </xdr:oneCellAnchor>
  <xdr:oneCellAnchor>
    <xdr:from>
      <xdr:col>0</xdr:col>
      <xdr:colOff>857250</xdr:colOff>
      <xdr:row>39</xdr:row>
      <xdr:rowOff>85725</xdr:rowOff>
    </xdr:from>
    <xdr:ext cx="161070" cy="170560"/>
    <xdr:sp macro="" textlink="">
      <xdr:nvSpPr>
        <xdr:cNvPr id="291" name="Text Box 329">
          <a:extLst>
            <a:ext uri="{FF2B5EF4-FFF2-40B4-BE49-F238E27FC236}">
              <a16:creationId xmlns:a16="http://schemas.microsoft.com/office/drawing/2014/main" id="{00000000-0008-0000-0000-000023010000}"/>
            </a:ext>
          </a:extLst>
        </xdr:cNvPr>
        <xdr:cNvSpPr txBox="1">
          <a:spLocks noChangeArrowheads="1"/>
        </xdr:cNvSpPr>
      </xdr:nvSpPr>
      <xdr:spPr bwMode="auto">
        <a:xfrm>
          <a:off x="857250" y="750570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12</a:t>
          </a:r>
        </a:p>
      </xdr:txBody>
    </xdr:sp>
    <xdr:clientData/>
  </xdr:oneCellAnchor>
  <xdr:oneCellAnchor>
    <xdr:from>
      <xdr:col>0</xdr:col>
      <xdr:colOff>419100</xdr:colOff>
      <xdr:row>33</xdr:row>
      <xdr:rowOff>161925</xdr:rowOff>
    </xdr:from>
    <xdr:ext cx="161070" cy="170560"/>
    <xdr:sp macro="" textlink="">
      <xdr:nvSpPr>
        <xdr:cNvPr id="292" name="Text Box 330">
          <a:extLst>
            <a:ext uri="{FF2B5EF4-FFF2-40B4-BE49-F238E27FC236}">
              <a16:creationId xmlns:a16="http://schemas.microsoft.com/office/drawing/2014/main" id="{00000000-0008-0000-0000-000024010000}"/>
            </a:ext>
          </a:extLst>
        </xdr:cNvPr>
        <xdr:cNvSpPr txBox="1">
          <a:spLocks noChangeArrowheads="1"/>
        </xdr:cNvSpPr>
      </xdr:nvSpPr>
      <xdr:spPr bwMode="auto">
        <a:xfrm>
          <a:off x="419100" y="638175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11</a:t>
          </a:r>
        </a:p>
      </xdr:txBody>
    </xdr:sp>
    <xdr:clientData/>
  </xdr:oneCellAnchor>
  <xdr:oneCellAnchor>
    <xdr:from>
      <xdr:col>0</xdr:col>
      <xdr:colOff>666750</xdr:colOff>
      <xdr:row>28</xdr:row>
      <xdr:rowOff>0</xdr:rowOff>
    </xdr:from>
    <xdr:ext cx="161070" cy="170560"/>
    <xdr:sp macro="" textlink="">
      <xdr:nvSpPr>
        <xdr:cNvPr id="293" name="Text Box 331">
          <a:extLst>
            <a:ext uri="{FF2B5EF4-FFF2-40B4-BE49-F238E27FC236}">
              <a16:creationId xmlns:a16="http://schemas.microsoft.com/office/drawing/2014/main" id="{00000000-0008-0000-0000-000025010000}"/>
            </a:ext>
          </a:extLst>
        </xdr:cNvPr>
        <xdr:cNvSpPr txBox="1">
          <a:spLocks noChangeArrowheads="1"/>
        </xdr:cNvSpPr>
      </xdr:nvSpPr>
      <xdr:spPr bwMode="auto">
        <a:xfrm>
          <a:off x="666750" y="521970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10</a:t>
          </a:r>
        </a:p>
      </xdr:txBody>
    </xdr:sp>
    <xdr:clientData/>
  </xdr:oneCellAnchor>
  <xdr:twoCellAnchor>
    <xdr:from>
      <xdr:col>0</xdr:col>
      <xdr:colOff>190500</xdr:colOff>
      <xdr:row>17</xdr:row>
      <xdr:rowOff>180975</xdr:rowOff>
    </xdr:from>
    <xdr:to>
      <xdr:col>0</xdr:col>
      <xdr:colOff>809625</xdr:colOff>
      <xdr:row>18</xdr:row>
      <xdr:rowOff>19050</xdr:rowOff>
    </xdr:to>
    <xdr:sp macro="" textlink="">
      <xdr:nvSpPr>
        <xdr:cNvPr id="294" name="AutoShape 333">
          <a:extLst>
            <a:ext uri="{FF2B5EF4-FFF2-40B4-BE49-F238E27FC236}">
              <a16:creationId xmlns:a16="http://schemas.microsoft.com/office/drawing/2014/main" id="{00000000-0008-0000-0000-000026010000}"/>
            </a:ext>
          </a:extLst>
        </xdr:cNvPr>
        <xdr:cNvSpPr>
          <a:spLocks noChangeArrowheads="1"/>
        </xdr:cNvSpPr>
      </xdr:nvSpPr>
      <xdr:spPr bwMode="auto">
        <a:xfrm rot="16209932" flipH="1">
          <a:off x="481013" y="2909887"/>
          <a:ext cx="38100" cy="619125"/>
        </a:xfrm>
        <a:prstGeom prst="flowChartAlternateProcess">
          <a:avLst/>
        </a:prstGeom>
        <a:gradFill rotWithShape="1">
          <a:gsLst>
            <a:gs pos="0">
              <a:srgbClr val="760000"/>
            </a:gs>
            <a:gs pos="50000">
              <a:srgbClr val="FF0000"/>
            </a:gs>
            <a:gs pos="100000">
              <a:srgbClr val="760000"/>
            </a:gs>
          </a:gsLst>
          <a:lin ang="0" scaled="1"/>
        </a:gradFill>
        <a:ln w="9525">
          <a:solidFill>
            <a:srgbClr val="000000"/>
          </a:solidFill>
          <a:miter lim="800000"/>
          <a:headEnd/>
          <a:tailEnd/>
        </a:ln>
      </xdr:spPr>
    </xdr:sp>
    <xdr:clientData/>
  </xdr:twoCellAnchor>
  <xdr:twoCellAnchor>
    <xdr:from>
      <xdr:col>0</xdr:col>
      <xdr:colOff>190500</xdr:colOff>
      <xdr:row>17</xdr:row>
      <xdr:rowOff>190500</xdr:rowOff>
    </xdr:from>
    <xdr:to>
      <xdr:col>0</xdr:col>
      <xdr:colOff>809625</xdr:colOff>
      <xdr:row>22</xdr:row>
      <xdr:rowOff>28575</xdr:rowOff>
    </xdr:to>
    <xdr:grpSp>
      <xdr:nvGrpSpPr>
        <xdr:cNvPr id="295" name="Group 550">
          <a:extLst>
            <a:ext uri="{FF2B5EF4-FFF2-40B4-BE49-F238E27FC236}">
              <a16:creationId xmlns:a16="http://schemas.microsoft.com/office/drawing/2014/main" id="{00000000-0008-0000-0000-000027010000}"/>
            </a:ext>
          </a:extLst>
        </xdr:cNvPr>
        <xdr:cNvGrpSpPr>
          <a:grpSpLocks/>
        </xdr:cNvGrpSpPr>
      </xdr:nvGrpSpPr>
      <xdr:grpSpPr bwMode="auto">
        <a:xfrm>
          <a:off x="190500" y="3209925"/>
          <a:ext cx="619125" cy="838200"/>
          <a:chOff x="20" y="338"/>
          <a:chExt cx="70" cy="88"/>
        </a:xfrm>
      </xdr:grpSpPr>
      <xdr:grpSp>
        <xdr:nvGrpSpPr>
          <xdr:cNvPr id="296" name="Group 334">
            <a:extLst>
              <a:ext uri="{FF2B5EF4-FFF2-40B4-BE49-F238E27FC236}">
                <a16:creationId xmlns:a16="http://schemas.microsoft.com/office/drawing/2014/main" id="{00000000-0008-0000-0000-000028010000}"/>
              </a:ext>
            </a:extLst>
          </xdr:cNvPr>
          <xdr:cNvGrpSpPr>
            <a:grpSpLocks/>
          </xdr:cNvGrpSpPr>
        </xdr:nvGrpSpPr>
        <xdr:grpSpPr bwMode="auto">
          <a:xfrm rot="16200000" flipH="1">
            <a:off x="54" y="306"/>
            <a:ext cx="2" cy="66"/>
            <a:chOff x="2044" y="254"/>
            <a:chExt cx="3" cy="33"/>
          </a:xfrm>
        </xdr:grpSpPr>
        <xdr:sp macro="" textlink="">
          <xdr:nvSpPr>
            <xdr:cNvPr id="301" name="AutoShape 335">
              <a:extLst>
                <a:ext uri="{FF2B5EF4-FFF2-40B4-BE49-F238E27FC236}">
                  <a16:creationId xmlns:a16="http://schemas.microsoft.com/office/drawing/2014/main" id="{00000000-0008-0000-0000-00002D010000}"/>
                </a:ext>
              </a:extLst>
            </xdr:cNvPr>
            <xdr:cNvSpPr>
              <a:spLocks noChangeArrowheads="1"/>
            </xdr:cNvSpPr>
          </xdr:nvSpPr>
          <xdr:spPr bwMode="auto">
            <a:xfrm rot="-9932" flipH="1" flipV="1">
              <a:off x="2044" y="254"/>
              <a:ext cx="3" cy="3"/>
            </a:xfrm>
            <a:prstGeom prst="flowChartConnector">
              <a:avLst/>
            </a:prstGeom>
            <a:gradFill rotWithShape="0">
              <a:gsLst>
                <a:gs pos="0">
                  <a:srgbClr val="760D0D"/>
                </a:gs>
                <a:gs pos="50000">
                  <a:srgbClr val="FF1B1B"/>
                </a:gs>
                <a:gs pos="100000">
                  <a:srgbClr val="760D0D"/>
                </a:gs>
              </a:gsLst>
              <a:lin ang="0" scaled="1"/>
            </a:gradFill>
            <a:ln w="9525">
              <a:solidFill>
                <a:srgbClr val="000000"/>
              </a:solidFill>
              <a:round/>
              <a:headEnd/>
              <a:tailEnd/>
            </a:ln>
          </xdr:spPr>
        </xdr:sp>
        <xdr:sp macro="" textlink="">
          <xdr:nvSpPr>
            <xdr:cNvPr id="302" name="AutoShape 336">
              <a:extLst>
                <a:ext uri="{FF2B5EF4-FFF2-40B4-BE49-F238E27FC236}">
                  <a16:creationId xmlns:a16="http://schemas.microsoft.com/office/drawing/2014/main" id="{00000000-0008-0000-0000-00002E010000}"/>
                </a:ext>
              </a:extLst>
            </xdr:cNvPr>
            <xdr:cNvSpPr>
              <a:spLocks noChangeArrowheads="1"/>
            </xdr:cNvSpPr>
          </xdr:nvSpPr>
          <xdr:spPr bwMode="auto">
            <a:xfrm rot="-9932" flipH="1" flipV="1">
              <a:off x="2044" y="262"/>
              <a:ext cx="3" cy="3"/>
            </a:xfrm>
            <a:prstGeom prst="flowChartConnector">
              <a:avLst/>
            </a:prstGeom>
            <a:gradFill rotWithShape="0">
              <a:gsLst>
                <a:gs pos="0">
                  <a:srgbClr val="760D0D"/>
                </a:gs>
                <a:gs pos="50000">
                  <a:srgbClr val="FF1B1B"/>
                </a:gs>
                <a:gs pos="100000">
                  <a:srgbClr val="760D0D"/>
                </a:gs>
              </a:gsLst>
              <a:lin ang="0" scaled="1"/>
            </a:gradFill>
            <a:ln w="9525">
              <a:solidFill>
                <a:srgbClr val="000000"/>
              </a:solidFill>
              <a:round/>
              <a:headEnd/>
              <a:tailEnd/>
            </a:ln>
          </xdr:spPr>
        </xdr:sp>
        <xdr:sp macro="" textlink="">
          <xdr:nvSpPr>
            <xdr:cNvPr id="303" name="AutoShape 337">
              <a:extLst>
                <a:ext uri="{FF2B5EF4-FFF2-40B4-BE49-F238E27FC236}">
                  <a16:creationId xmlns:a16="http://schemas.microsoft.com/office/drawing/2014/main" id="{00000000-0008-0000-0000-00002F010000}"/>
                </a:ext>
              </a:extLst>
            </xdr:cNvPr>
            <xdr:cNvSpPr>
              <a:spLocks noChangeArrowheads="1"/>
            </xdr:cNvSpPr>
          </xdr:nvSpPr>
          <xdr:spPr bwMode="auto">
            <a:xfrm rot="-9932" flipH="1" flipV="1">
              <a:off x="2044" y="270"/>
              <a:ext cx="3" cy="3"/>
            </a:xfrm>
            <a:prstGeom prst="flowChartConnector">
              <a:avLst/>
            </a:prstGeom>
            <a:gradFill rotWithShape="0">
              <a:gsLst>
                <a:gs pos="0">
                  <a:srgbClr val="760D0D"/>
                </a:gs>
                <a:gs pos="50000">
                  <a:srgbClr val="FF1B1B"/>
                </a:gs>
                <a:gs pos="100000">
                  <a:srgbClr val="760D0D"/>
                </a:gs>
              </a:gsLst>
              <a:lin ang="0" scaled="1"/>
            </a:gradFill>
            <a:ln w="9525">
              <a:solidFill>
                <a:srgbClr val="000000"/>
              </a:solidFill>
              <a:round/>
              <a:headEnd/>
              <a:tailEnd/>
            </a:ln>
          </xdr:spPr>
        </xdr:sp>
        <xdr:sp macro="" textlink="">
          <xdr:nvSpPr>
            <xdr:cNvPr id="304" name="AutoShape 338">
              <a:extLst>
                <a:ext uri="{FF2B5EF4-FFF2-40B4-BE49-F238E27FC236}">
                  <a16:creationId xmlns:a16="http://schemas.microsoft.com/office/drawing/2014/main" id="{00000000-0008-0000-0000-000030010000}"/>
                </a:ext>
              </a:extLst>
            </xdr:cNvPr>
            <xdr:cNvSpPr>
              <a:spLocks noChangeArrowheads="1"/>
            </xdr:cNvSpPr>
          </xdr:nvSpPr>
          <xdr:spPr bwMode="auto">
            <a:xfrm rot="-9932" flipH="1" flipV="1">
              <a:off x="2044" y="278"/>
              <a:ext cx="3" cy="3"/>
            </a:xfrm>
            <a:prstGeom prst="flowChartConnector">
              <a:avLst/>
            </a:prstGeom>
            <a:gradFill rotWithShape="0">
              <a:gsLst>
                <a:gs pos="0">
                  <a:srgbClr val="760D0D"/>
                </a:gs>
                <a:gs pos="50000">
                  <a:srgbClr val="FF1B1B"/>
                </a:gs>
                <a:gs pos="100000">
                  <a:srgbClr val="760D0D"/>
                </a:gs>
              </a:gsLst>
              <a:lin ang="0" scaled="1"/>
            </a:gradFill>
            <a:ln w="9525">
              <a:solidFill>
                <a:srgbClr val="000000"/>
              </a:solidFill>
              <a:round/>
              <a:headEnd/>
              <a:tailEnd/>
            </a:ln>
          </xdr:spPr>
        </xdr:sp>
        <xdr:sp macro="" textlink="">
          <xdr:nvSpPr>
            <xdr:cNvPr id="305" name="AutoShape 339">
              <a:extLst>
                <a:ext uri="{FF2B5EF4-FFF2-40B4-BE49-F238E27FC236}">
                  <a16:creationId xmlns:a16="http://schemas.microsoft.com/office/drawing/2014/main" id="{00000000-0008-0000-0000-000031010000}"/>
                </a:ext>
              </a:extLst>
            </xdr:cNvPr>
            <xdr:cNvSpPr>
              <a:spLocks noChangeArrowheads="1"/>
            </xdr:cNvSpPr>
          </xdr:nvSpPr>
          <xdr:spPr bwMode="auto">
            <a:xfrm rot="-9932" flipH="1" flipV="1">
              <a:off x="2044" y="284"/>
              <a:ext cx="3" cy="3"/>
            </a:xfrm>
            <a:prstGeom prst="flowChartConnector">
              <a:avLst/>
            </a:prstGeom>
            <a:gradFill rotWithShape="0">
              <a:gsLst>
                <a:gs pos="0">
                  <a:srgbClr val="760D0D"/>
                </a:gs>
                <a:gs pos="50000">
                  <a:srgbClr val="FF1B1B"/>
                </a:gs>
                <a:gs pos="100000">
                  <a:srgbClr val="760D0D"/>
                </a:gs>
              </a:gsLst>
              <a:lin ang="0" scaled="1"/>
            </a:gradFill>
            <a:ln w="9525">
              <a:solidFill>
                <a:srgbClr val="000000"/>
              </a:solidFill>
              <a:round/>
              <a:headEnd/>
              <a:tailEnd/>
            </a:ln>
          </xdr:spPr>
        </xdr:sp>
      </xdr:grpSp>
      <xdr:sp macro="" textlink="">
        <xdr:nvSpPr>
          <xdr:cNvPr id="297" name="AutoShape 340">
            <a:extLst>
              <a:ext uri="{FF2B5EF4-FFF2-40B4-BE49-F238E27FC236}">
                <a16:creationId xmlns:a16="http://schemas.microsoft.com/office/drawing/2014/main" id="{00000000-0008-0000-0000-000029010000}"/>
              </a:ext>
            </a:extLst>
          </xdr:cNvPr>
          <xdr:cNvSpPr>
            <a:spLocks noChangeArrowheads="1"/>
          </xdr:cNvSpPr>
        </xdr:nvSpPr>
        <xdr:spPr bwMode="auto">
          <a:xfrm rot="16209932" flipH="1">
            <a:off x="52" y="325"/>
            <a:ext cx="5" cy="70"/>
          </a:xfrm>
          <a:prstGeom prst="roundRect">
            <a:avLst>
              <a:gd name="adj" fmla="val 16667"/>
            </a:avLst>
          </a:prstGeom>
          <a:gradFill rotWithShape="0">
            <a:gsLst>
              <a:gs pos="0">
                <a:srgbClr val="181818"/>
              </a:gs>
              <a:gs pos="50000">
                <a:srgbClr val="333333"/>
              </a:gs>
              <a:gs pos="100000">
                <a:srgbClr val="181818"/>
              </a:gs>
            </a:gsLst>
            <a:lin ang="0" scaled="1"/>
          </a:gradFill>
          <a:ln w="9525">
            <a:solidFill>
              <a:srgbClr val="000000"/>
            </a:solidFill>
            <a:round/>
            <a:headEnd/>
            <a:tailEnd/>
          </a:ln>
        </xdr:spPr>
      </xdr:sp>
      <xdr:sp macro="" textlink="">
        <xdr:nvSpPr>
          <xdr:cNvPr id="298" name="AutoShape 341">
            <a:extLst>
              <a:ext uri="{FF2B5EF4-FFF2-40B4-BE49-F238E27FC236}">
                <a16:creationId xmlns:a16="http://schemas.microsoft.com/office/drawing/2014/main" id="{00000000-0008-0000-0000-00002A010000}"/>
              </a:ext>
            </a:extLst>
          </xdr:cNvPr>
          <xdr:cNvSpPr>
            <a:spLocks noChangeArrowheads="1"/>
          </xdr:cNvSpPr>
        </xdr:nvSpPr>
        <xdr:spPr bwMode="auto">
          <a:xfrm rot="16209932" flipH="1">
            <a:off x="51" y="317"/>
            <a:ext cx="8" cy="70"/>
          </a:xfrm>
          <a:prstGeom prst="roundRect">
            <a:avLst>
              <a:gd name="adj" fmla="val 16667"/>
            </a:avLst>
          </a:prstGeom>
          <a:gradFill rotWithShape="0">
            <a:gsLst>
              <a:gs pos="0">
                <a:srgbClr val="181818"/>
              </a:gs>
              <a:gs pos="50000">
                <a:srgbClr val="333333"/>
              </a:gs>
              <a:gs pos="100000">
                <a:srgbClr val="181818"/>
              </a:gs>
            </a:gsLst>
            <a:lin ang="0" scaled="1"/>
          </a:gradFill>
          <a:ln w="9525">
            <a:solidFill>
              <a:srgbClr val="000000"/>
            </a:solidFill>
            <a:round/>
            <a:headEnd/>
            <a:tailEnd/>
          </a:ln>
        </xdr:spPr>
      </xdr:sp>
      <xdr:sp macro="" textlink="">
        <xdr:nvSpPr>
          <xdr:cNvPr id="299" name="Rectangle 344">
            <a:extLst>
              <a:ext uri="{FF2B5EF4-FFF2-40B4-BE49-F238E27FC236}">
                <a16:creationId xmlns:a16="http://schemas.microsoft.com/office/drawing/2014/main" id="{00000000-0008-0000-0000-00002B010000}"/>
              </a:ext>
            </a:extLst>
          </xdr:cNvPr>
          <xdr:cNvSpPr>
            <a:spLocks noChangeArrowheads="1"/>
          </xdr:cNvSpPr>
        </xdr:nvSpPr>
        <xdr:spPr bwMode="auto">
          <a:xfrm rot="16209932" flipH="1">
            <a:off x="51" y="310"/>
            <a:ext cx="8" cy="70"/>
          </a:xfrm>
          <a:prstGeom prst="rect">
            <a:avLst/>
          </a:prstGeom>
          <a:gradFill rotWithShape="0">
            <a:gsLst>
              <a:gs pos="0">
                <a:srgbClr val="AF0000"/>
              </a:gs>
              <a:gs pos="50000">
                <a:srgbClr val="FF0000"/>
              </a:gs>
              <a:gs pos="100000">
                <a:srgbClr val="AF0000"/>
              </a:gs>
            </a:gsLst>
            <a:lin ang="0" scaled="1"/>
          </a:gradFill>
          <a:ln w="9525">
            <a:solidFill>
              <a:srgbClr val="000000"/>
            </a:solidFill>
            <a:miter lim="800000"/>
            <a:headEnd/>
            <a:tailEnd/>
          </a:ln>
        </xdr:spPr>
      </xdr:sp>
      <xdr:sp macro="" textlink="">
        <xdr:nvSpPr>
          <xdr:cNvPr id="300" name="Rectangle 346">
            <a:extLst>
              <a:ext uri="{FF2B5EF4-FFF2-40B4-BE49-F238E27FC236}">
                <a16:creationId xmlns:a16="http://schemas.microsoft.com/office/drawing/2014/main" id="{00000000-0008-0000-0000-00002C010000}"/>
              </a:ext>
            </a:extLst>
          </xdr:cNvPr>
          <xdr:cNvSpPr>
            <a:spLocks noChangeArrowheads="1"/>
          </xdr:cNvSpPr>
        </xdr:nvSpPr>
        <xdr:spPr bwMode="auto">
          <a:xfrm rot="16209932" flipH="1">
            <a:off x="52" y="391"/>
            <a:ext cx="8" cy="61"/>
          </a:xfrm>
          <a:prstGeom prst="rect">
            <a:avLst/>
          </a:prstGeom>
          <a:gradFill rotWithShape="0">
            <a:gsLst>
              <a:gs pos="0">
                <a:srgbClr val="AF0000"/>
              </a:gs>
              <a:gs pos="50000">
                <a:srgbClr val="FF0000"/>
              </a:gs>
              <a:gs pos="100000">
                <a:srgbClr val="AF0000"/>
              </a:gs>
            </a:gsLst>
            <a:lin ang="0" scaled="1"/>
          </a:gradFill>
          <a:ln w="9525">
            <a:solidFill>
              <a:srgbClr val="000000"/>
            </a:solidFill>
            <a:miter lim="800000"/>
            <a:headEnd/>
            <a:tailEnd/>
          </a:ln>
        </xdr:spPr>
      </xdr:sp>
    </xdr:grpSp>
    <xdr:clientData/>
  </xdr:twoCellAnchor>
  <xdr:twoCellAnchor editAs="oneCell">
    <xdr:from>
      <xdr:col>1</xdr:col>
      <xdr:colOff>0</xdr:colOff>
      <xdr:row>14</xdr:row>
      <xdr:rowOff>114300</xdr:rowOff>
    </xdr:from>
    <xdr:to>
      <xdr:col>1</xdr:col>
      <xdr:colOff>76200</xdr:colOff>
      <xdr:row>15</xdr:row>
      <xdr:rowOff>152400</xdr:rowOff>
    </xdr:to>
    <xdr:sp macro="" textlink="">
      <xdr:nvSpPr>
        <xdr:cNvPr id="306" name="Text Box 430">
          <a:extLst>
            <a:ext uri="{FF2B5EF4-FFF2-40B4-BE49-F238E27FC236}">
              <a16:creationId xmlns:a16="http://schemas.microsoft.com/office/drawing/2014/main" id="{00000000-0008-0000-0000-000032010000}"/>
            </a:ext>
          </a:extLst>
        </xdr:cNvPr>
        <xdr:cNvSpPr txBox="1">
          <a:spLocks noChangeArrowheads="1"/>
        </xdr:cNvSpPr>
      </xdr:nvSpPr>
      <xdr:spPr bwMode="auto">
        <a:xfrm>
          <a:off x="1095375" y="2609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xdr:row>
      <xdr:rowOff>114300</xdr:rowOff>
    </xdr:from>
    <xdr:to>
      <xdr:col>1</xdr:col>
      <xdr:colOff>76200</xdr:colOff>
      <xdr:row>15</xdr:row>
      <xdr:rowOff>152400</xdr:rowOff>
    </xdr:to>
    <xdr:sp macro="" textlink="">
      <xdr:nvSpPr>
        <xdr:cNvPr id="307" name="Text Box 431">
          <a:extLst>
            <a:ext uri="{FF2B5EF4-FFF2-40B4-BE49-F238E27FC236}">
              <a16:creationId xmlns:a16="http://schemas.microsoft.com/office/drawing/2014/main" id="{00000000-0008-0000-0000-000033010000}"/>
            </a:ext>
          </a:extLst>
        </xdr:cNvPr>
        <xdr:cNvSpPr txBox="1">
          <a:spLocks noChangeArrowheads="1"/>
        </xdr:cNvSpPr>
      </xdr:nvSpPr>
      <xdr:spPr bwMode="auto">
        <a:xfrm>
          <a:off x="1095375" y="2609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285750</xdr:colOff>
      <xdr:row>39</xdr:row>
      <xdr:rowOff>66675</xdr:rowOff>
    </xdr:from>
    <xdr:to>
      <xdr:col>0</xdr:col>
      <xdr:colOff>428625</xdr:colOff>
      <xdr:row>49</xdr:row>
      <xdr:rowOff>76200</xdr:rowOff>
    </xdr:to>
    <xdr:sp macro="" textlink="">
      <xdr:nvSpPr>
        <xdr:cNvPr id="308" name="Freeform 233" descr="Dark horizontal">
          <a:extLst>
            <a:ext uri="{FF2B5EF4-FFF2-40B4-BE49-F238E27FC236}">
              <a16:creationId xmlns:a16="http://schemas.microsoft.com/office/drawing/2014/main" id="{00000000-0008-0000-0000-000034010000}"/>
            </a:ext>
          </a:extLst>
        </xdr:cNvPr>
        <xdr:cNvSpPr>
          <a:spLocks/>
        </xdr:cNvSpPr>
      </xdr:nvSpPr>
      <xdr:spPr bwMode="auto">
        <a:xfrm>
          <a:off x="285750" y="7486650"/>
          <a:ext cx="142875" cy="2009775"/>
        </a:xfrm>
        <a:custGeom>
          <a:avLst/>
          <a:gdLst>
            <a:gd name="T0" fmla="*/ 2147483646 w 12"/>
            <a:gd name="T1" fmla="*/ 2147483646 h 222"/>
            <a:gd name="T2" fmla="*/ 2147483646 w 12"/>
            <a:gd name="T3" fmla="*/ 2147483646 h 222"/>
            <a:gd name="T4" fmla="*/ 2147483646 w 12"/>
            <a:gd name="T5" fmla="*/ 2147483646 h 222"/>
            <a:gd name="T6" fmla="*/ 2147483646 w 12"/>
            <a:gd name="T7" fmla="*/ 2147483646 h 222"/>
            <a:gd name="T8" fmla="*/ 0 w 12"/>
            <a:gd name="T9" fmla="*/ 2147483646 h 222"/>
            <a:gd name="T10" fmla="*/ 0 w 12"/>
            <a:gd name="T11" fmla="*/ 2147483646 h 222"/>
            <a:gd name="T12" fmla="*/ 2147483646 w 12"/>
            <a:gd name="T13" fmla="*/ 0 h 222"/>
            <a:gd name="T14" fmla="*/ 0 60000 65536"/>
            <a:gd name="T15" fmla="*/ 0 60000 65536"/>
            <a:gd name="T16" fmla="*/ 0 60000 65536"/>
            <a:gd name="T17" fmla="*/ 0 60000 65536"/>
            <a:gd name="T18" fmla="*/ 0 60000 65536"/>
            <a:gd name="T19" fmla="*/ 0 60000 65536"/>
            <a:gd name="T20" fmla="*/ 0 60000 65536"/>
            <a:gd name="T21" fmla="*/ 0 w 12"/>
            <a:gd name="T22" fmla="*/ 0 h 222"/>
            <a:gd name="T23" fmla="*/ 12 w 12"/>
            <a:gd name="T24" fmla="*/ 222 h 222"/>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2" h="222">
              <a:moveTo>
                <a:pt x="4" y="1"/>
              </a:moveTo>
              <a:lnTo>
                <a:pt x="4" y="204"/>
              </a:lnTo>
              <a:lnTo>
                <a:pt x="12" y="222"/>
              </a:lnTo>
              <a:lnTo>
                <a:pt x="8" y="221"/>
              </a:lnTo>
              <a:lnTo>
                <a:pt x="0" y="207"/>
              </a:lnTo>
              <a:lnTo>
                <a:pt x="0" y="1"/>
              </a:lnTo>
              <a:lnTo>
                <a:pt x="2" y="0"/>
              </a:lnTo>
            </a:path>
          </a:pathLst>
        </a:custGeom>
        <a:blipFill dpi="0" rotWithShape="0">
          <a:blip xmlns:r="http://schemas.openxmlformats.org/officeDocument/2006/relationships" r:embed="rId2"/>
          <a:srcRect/>
          <a:tile tx="0" ty="0" sx="100000" sy="100000" flip="none" algn="tl"/>
        </a:blipFill>
        <a:ln w="9525">
          <a:solidFill>
            <a:srgbClr val="000000"/>
          </a:solidFill>
          <a:round/>
          <a:headEnd/>
          <a:tailEnd/>
        </a:ln>
      </xdr:spPr>
    </xdr:sp>
    <xdr:clientData/>
  </xdr:twoCellAnchor>
  <xdr:oneCellAnchor>
    <xdr:from>
      <xdr:col>0</xdr:col>
      <xdr:colOff>190500</xdr:colOff>
      <xdr:row>49</xdr:row>
      <xdr:rowOff>9525</xdr:rowOff>
    </xdr:from>
    <xdr:ext cx="118237" cy="180036"/>
    <xdr:sp macro="" textlink="">
      <xdr:nvSpPr>
        <xdr:cNvPr id="309" name="Text Box 274">
          <a:extLst>
            <a:ext uri="{FF2B5EF4-FFF2-40B4-BE49-F238E27FC236}">
              <a16:creationId xmlns:a16="http://schemas.microsoft.com/office/drawing/2014/main" id="{00000000-0008-0000-0000-000035010000}"/>
            </a:ext>
          </a:extLst>
        </xdr:cNvPr>
        <xdr:cNvSpPr txBox="1">
          <a:spLocks noChangeArrowheads="1"/>
        </xdr:cNvSpPr>
      </xdr:nvSpPr>
      <xdr:spPr bwMode="auto">
        <a:xfrm>
          <a:off x="190500" y="9429750"/>
          <a:ext cx="118237"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G</a:t>
          </a:r>
        </a:p>
      </xdr:txBody>
    </xdr:sp>
    <xdr:clientData/>
  </xdr:oneCellAnchor>
  <xdr:twoCellAnchor>
    <xdr:from>
      <xdr:col>0</xdr:col>
      <xdr:colOff>352425</xdr:colOff>
      <xdr:row>39</xdr:row>
      <xdr:rowOff>57150</xdr:rowOff>
    </xdr:from>
    <xdr:to>
      <xdr:col>0</xdr:col>
      <xdr:colOff>714375</xdr:colOff>
      <xdr:row>53</xdr:row>
      <xdr:rowOff>171450</xdr:rowOff>
    </xdr:to>
    <xdr:grpSp>
      <xdr:nvGrpSpPr>
        <xdr:cNvPr id="310" name="Group 632">
          <a:extLst>
            <a:ext uri="{FF2B5EF4-FFF2-40B4-BE49-F238E27FC236}">
              <a16:creationId xmlns:a16="http://schemas.microsoft.com/office/drawing/2014/main" id="{00000000-0008-0000-0000-000036010000}"/>
            </a:ext>
          </a:extLst>
        </xdr:cNvPr>
        <xdr:cNvGrpSpPr>
          <a:grpSpLocks/>
        </xdr:cNvGrpSpPr>
      </xdr:nvGrpSpPr>
      <xdr:grpSpPr bwMode="auto">
        <a:xfrm>
          <a:off x="352425" y="7477125"/>
          <a:ext cx="361950" cy="2914650"/>
          <a:chOff x="37" y="848"/>
          <a:chExt cx="38" cy="306"/>
        </a:xfrm>
      </xdr:grpSpPr>
      <xdr:grpSp>
        <xdr:nvGrpSpPr>
          <xdr:cNvPr id="311" name="Group 4">
            <a:extLst>
              <a:ext uri="{FF2B5EF4-FFF2-40B4-BE49-F238E27FC236}">
                <a16:creationId xmlns:a16="http://schemas.microsoft.com/office/drawing/2014/main" id="{00000000-0008-0000-0000-000037010000}"/>
              </a:ext>
            </a:extLst>
          </xdr:cNvPr>
          <xdr:cNvGrpSpPr>
            <a:grpSpLocks/>
          </xdr:cNvGrpSpPr>
        </xdr:nvGrpSpPr>
        <xdr:grpSpPr bwMode="auto">
          <a:xfrm>
            <a:off x="37" y="848"/>
            <a:ext cx="38" cy="267"/>
            <a:chOff x="37" y="825"/>
            <a:chExt cx="38" cy="267"/>
          </a:xfrm>
        </xdr:grpSpPr>
        <xdr:sp macro="" textlink="">
          <xdr:nvSpPr>
            <xdr:cNvPr id="387" name="Rectangle 5">
              <a:extLst>
                <a:ext uri="{FF2B5EF4-FFF2-40B4-BE49-F238E27FC236}">
                  <a16:creationId xmlns:a16="http://schemas.microsoft.com/office/drawing/2014/main" id="{00000000-0008-0000-0000-000083010000}"/>
                </a:ext>
              </a:extLst>
            </xdr:cNvPr>
            <xdr:cNvSpPr>
              <a:spLocks noChangeArrowheads="1"/>
            </xdr:cNvSpPr>
          </xdr:nvSpPr>
          <xdr:spPr bwMode="auto">
            <a:xfrm>
              <a:off x="45" y="935"/>
              <a:ext cx="23" cy="9"/>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88" name="AutoShape 6">
              <a:extLst>
                <a:ext uri="{FF2B5EF4-FFF2-40B4-BE49-F238E27FC236}">
                  <a16:creationId xmlns:a16="http://schemas.microsoft.com/office/drawing/2014/main" id="{00000000-0008-0000-0000-000084010000}"/>
                </a:ext>
              </a:extLst>
            </xdr:cNvPr>
            <xdr:cNvSpPr>
              <a:spLocks noChangeArrowheads="1"/>
            </xdr:cNvSpPr>
          </xdr:nvSpPr>
          <xdr:spPr bwMode="auto">
            <a:xfrm rot="10800000">
              <a:off x="37" y="833"/>
              <a:ext cx="38" cy="1"/>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274 w 21600"/>
                <a:gd name="T13" fmla="*/ 0 h 21600"/>
                <a:gd name="T14" fmla="*/ 19326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grpSp>
          <xdr:nvGrpSpPr>
            <xdr:cNvPr id="389" name="Group 7">
              <a:extLst>
                <a:ext uri="{FF2B5EF4-FFF2-40B4-BE49-F238E27FC236}">
                  <a16:creationId xmlns:a16="http://schemas.microsoft.com/office/drawing/2014/main" id="{00000000-0008-0000-0000-000085010000}"/>
                </a:ext>
              </a:extLst>
            </xdr:cNvPr>
            <xdr:cNvGrpSpPr>
              <a:grpSpLocks/>
            </xdr:cNvGrpSpPr>
          </xdr:nvGrpSpPr>
          <xdr:grpSpPr bwMode="auto">
            <a:xfrm>
              <a:off x="38" y="850"/>
              <a:ext cx="35" cy="7"/>
              <a:chOff x="38" y="850"/>
              <a:chExt cx="35" cy="7"/>
            </a:xfrm>
          </xdr:grpSpPr>
          <xdr:sp macro="" textlink="">
            <xdr:nvSpPr>
              <xdr:cNvPr id="411" name="Rectangle 8">
                <a:extLst>
                  <a:ext uri="{FF2B5EF4-FFF2-40B4-BE49-F238E27FC236}">
                    <a16:creationId xmlns:a16="http://schemas.microsoft.com/office/drawing/2014/main" id="{00000000-0008-0000-0000-00009B010000}"/>
                  </a:ext>
                </a:extLst>
              </xdr:cNvPr>
              <xdr:cNvSpPr>
                <a:spLocks noChangeArrowheads="1"/>
              </xdr:cNvSpPr>
            </xdr:nvSpPr>
            <xdr:spPr bwMode="auto">
              <a:xfrm>
                <a:off x="40" y="851"/>
                <a:ext cx="5" cy="2"/>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12" name="Rectangle 9">
                <a:extLst>
                  <a:ext uri="{FF2B5EF4-FFF2-40B4-BE49-F238E27FC236}">
                    <a16:creationId xmlns:a16="http://schemas.microsoft.com/office/drawing/2014/main" id="{00000000-0008-0000-0000-00009C010000}"/>
                  </a:ext>
                </a:extLst>
              </xdr:cNvPr>
              <xdr:cNvSpPr>
                <a:spLocks noChangeArrowheads="1"/>
              </xdr:cNvSpPr>
            </xdr:nvSpPr>
            <xdr:spPr bwMode="auto">
              <a:xfrm>
                <a:off x="38" y="850"/>
                <a:ext cx="35" cy="3"/>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13" name="Rectangle 10">
                <a:extLst>
                  <a:ext uri="{FF2B5EF4-FFF2-40B4-BE49-F238E27FC236}">
                    <a16:creationId xmlns:a16="http://schemas.microsoft.com/office/drawing/2014/main" id="{00000000-0008-0000-0000-00009D010000}"/>
                  </a:ext>
                </a:extLst>
              </xdr:cNvPr>
              <xdr:cNvSpPr>
                <a:spLocks noChangeArrowheads="1"/>
              </xdr:cNvSpPr>
            </xdr:nvSpPr>
            <xdr:spPr bwMode="auto">
              <a:xfrm>
                <a:off x="67" y="851"/>
                <a:ext cx="5" cy="1"/>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14" name="Rectangle 11">
                <a:extLst>
                  <a:ext uri="{FF2B5EF4-FFF2-40B4-BE49-F238E27FC236}">
                    <a16:creationId xmlns:a16="http://schemas.microsoft.com/office/drawing/2014/main" id="{00000000-0008-0000-0000-00009E010000}"/>
                  </a:ext>
                </a:extLst>
              </xdr:cNvPr>
              <xdr:cNvSpPr>
                <a:spLocks noChangeArrowheads="1"/>
              </xdr:cNvSpPr>
            </xdr:nvSpPr>
            <xdr:spPr bwMode="auto">
              <a:xfrm>
                <a:off x="57" y="851"/>
                <a:ext cx="5" cy="1"/>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15" name="Rectangle 12">
                <a:extLst>
                  <a:ext uri="{FF2B5EF4-FFF2-40B4-BE49-F238E27FC236}">
                    <a16:creationId xmlns:a16="http://schemas.microsoft.com/office/drawing/2014/main" id="{00000000-0008-0000-0000-00009F010000}"/>
                  </a:ext>
                </a:extLst>
              </xdr:cNvPr>
              <xdr:cNvSpPr>
                <a:spLocks noChangeArrowheads="1"/>
              </xdr:cNvSpPr>
            </xdr:nvSpPr>
            <xdr:spPr bwMode="auto">
              <a:xfrm>
                <a:off x="48" y="851"/>
                <a:ext cx="5" cy="1"/>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16" name="Rectangle 13">
                <a:extLst>
                  <a:ext uri="{FF2B5EF4-FFF2-40B4-BE49-F238E27FC236}">
                    <a16:creationId xmlns:a16="http://schemas.microsoft.com/office/drawing/2014/main" id="{00000000-0008-0000-0000-0000A0010000}"/>
                  </a:ext>
                </a:extLst>
              </xdr:cNvPr>
              <xdr:cNvSpPr>
                <a:spLocks noChangeArrowheads="1"/>
              </xdr:cNvSpPr>
            </xdr:nvSpPr>
            <xdr:spPr bwMode="auto">
              <a:xfrm>
                <a:off x="38" y="853"/>
                <a:ext cx="35" cy="4"/>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grpSp>
        <xdr:sp macro="" textlink="">
          <xdr:nvSpPr>
            <xdr:cNvPr id="390" name="Rectangle 14">
              <a:extLst>
                <a:ext uri="{FF2B5EF4-FFF2-40B4-BE49-F238E27FC236}">
                  <a16:creationId xmlns:a16="http://schemas.microsoft.com/office/drawing/2014/main" id="{00000000-0008-0000-0000-000086010000}"/>
                </a:ext>
              </a:extLst>
            </xdr:cNvPr>
            <xdr:cNvSpPr>
              <a:spLocks noChangeArrowheads="1"/>
            </xdr:cNvSpPr>
          </xdr:nvSpPr>
          <xdr:spPr bwMode="auto">
            <a:xfrm>
              <a:off x="44" y="898"/>
              <a:ext cx="24" cy="9"/>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91" name="Rectangle 15">
              <a:extLst>
                <a:ext uri="{FF2B5EF4-FFF2-40B4-BE49-F238E27FC236}">
                  <a16:creationId xmlns:a16="http://schemas.microsoft.com/office/drawing/2014/main" id="{00000000-0008-0000-0000-000087010000}"/>
                </a:ext>
              </a:extLst>
            </xdr:cNvPr>
            <xdr:cNvSpPr>
              <a:spLocks noChangeArrowheads="1"/>
            </xdr:cNvSpPr>
          </xdr:nvSpPr>
          <xdr:spPr bwMode="auto">
            <a:xfrm>
              <a:off x="38" y="908"/>
              <a:ext cx="36" cy="9"/>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grpSp>
          <xdr:nvGrpSpPr>
            <xdr:cNvPr id="392" name="Group 16">
              <a:extLst>
                <a:ext uri="{FF2B5EF4-FFF2-40B4-BE49-F238E27FC236}">
                  <a16:creationId xmlns:a16="http://schemas.microsoft.com/office/drawing/2014/main" id="{00000000-0008-0000-0000-000088010000}"/>
                </a:ext>
              </a:extLst>
            </xdr:cNvPr>
            <xdr:cNvGrpSpPr>
              <a:grpSpLocks/>
            </xdr:cNvGrpSpPr>
          </xdr:nvGrpSpPr>
          <xdr:grpSpPr bwMode="auto">
            <a:xfrm>
              <a:off x="38" y="1013"/>
              <a:ext cx="36" cy="9"/>
              <a:chOff x="38" y="1013"/>
              <a:chExt cx="36" cy="9"/>
            </a:xfrm>
          </xdr:grpSpPr>
          <xdr:sp macro="" textlink="">
            <xdr:nvSpPr>
              <xdr:cNvPr id="406" name="Rectangle 17">
                <a:extLst>
                  <a:ext uri="{FF2B5EF4-FFF2-40B4-BE49-F238E27FC236}">
                    <a16:creationId xmlns:a16="http://schemas.microsoft.com/office/drawing/2014/main" id="{00000000-0008-0000-0000-000096010000}"/>
                  </a:ext>
                </a:extLst>
              </xdr:cNvPr>
              <xdr:cNvSpPr>
                <a:spLocks noChangeArrowheads="1"/>
              </xdr:cNvSpPr>
            </xdr:nvSpPr>
            <xdr:spPr bwMode="auto">
              <a:xfrm>
                <a:off x="40" y="1013"/>
                <a:ext cx="5" cy="3"/>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07" name="Rectangle 18">
                <a:extLst>
                  <a:ext uri="{FF2B5EF4-FFF2-40B4-BE49-F238E27FC236}">
                    <a16:creationId xmlns:a16="http://schemas.microsoft.com/office/drawing/2014/main" id="{00000000-0008-0000-0000-000097010000}"/>
                  </a:ext>
                </a:extLst>
              </xdr:cNvPr>
              <xdr:cNvSpPr>
                <a:spLocks noChangeArrowheads="1"/>
              </xdr:cNvSpPr>
            </xdr:nvSpPr>
            <xdr:spPr bwMode="auto">
              <a:xfrm>
                <a:off x="68" y="1013"/>
                <a:ext cx="4" cy="2"/>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08" name="Rectangle 19">
                <a:extLst>
                  <a:ext uri="{FF2B5EF4-FFF2-40B4-BE49-F238E27FC236}">
                    <a16:creationId xmlns:a16="http://schemas.microsoft.com/office/drawing/2014/main" id="{00000000-0008-0000-0000-000098010000}"/>
                  </a:ext>
                </a:extLst>
              </xdr:cNvPr>
              <xdr:cNvSpPr>
                <a:spLocks noChangeArrowheads="1"/>
              </xdr:cNvSpPr>
            </xdr:nvSpPr>
            <xdr:spPr bwMode="auto">
              <a:xfrm>
                <a:off x="58" y="1013"/>
                <a:ext cx="5" cy="2"/>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09" name="Rectangle 20">
                <a:extLst>
                  <a:ext uri="{FF2B5EF4-FFF2-40B4-BE49-F238E27FC236}">
                    <a16:creationId xmlns:a16="http://schemas.microsoft.com/office/drawing/2014/main" id="{00000000-0008-0000-0000-000099010000}"/>
                  </a:ext>
                </a:extLst>
              </xdr:cNvPr>
              <xdr:cNvSpPr>
                <a:spLocks noChangeArrowheads="1"/>
              </xdr:cNvSpPr>
            </xdr:nvSpPr>
            <xdr:spPr bwMode="auto">
              <a:xfrm>
                <a:off x="49" y="1013"/>
                <a:ext cx="4" cy="2"/>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10" name="Rectangle 21">
                <a:extLst>
                  <a:ext uri="{FF2B5EF4-FFF2-40B4-BE49-F238E27FC236}">
                    <a16:creationId xmlns:a16="http://schemas.microsoft.com/office/drawing/2014/main" id="{00000000-0008-0000-0000-00009A010000}"/>
                  </a:ext>
                </a:extLst>
              </xdr:cNvPr>
              <xdr:cNvSpPr>
                <a:spLocks noChangeArrowheads="1"/>
              </xdr:cNvSpPr>
            </xdr:nvSpPr>
            <xdr:spPr bwMode="auto">
              <a:xfrm>
                <a:off x="38" y="1017"/>
                <a:ext cx="36" cy="5"/>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grpSp>
        <xdr:sp macro="" textlink="">
          <xdr:nvSpPr>
            <xdr:cNvPr id="393" name="Rectangle 22">
              <a:extLst>
                <a:ext uri="{FF2B5EF4-FFF2-40B4-BE49-F238E27FC236}">
                  <a16:creationId xmlns:a16="http://schemas.microsoft.com/office/drawing/2014/main" id="{00000000-0008-0000-0000-000089010000}"/>
                </a:ext>
              </a:extLst>
            </xdr:cNvPr>
            <xdr:cNvSpPr>
              <a:spLocks noChangeArrowheads="1"/>
            </xdr:cNvSpPr>
          </xdr:nvSpPr>
          <xdr:spPr bwMode="auto">
            <a:xfrm>
              <a:off x="38" y="947"/>
              <a:ext cx="35" cy="5"/>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94" name="AutoShape 23">
              <a:extLst>
                <a:ext uri="{FF2B5EF4-FFF2-40B4-BE49-F238E27FC236}">
                  <a16:creationId xmlns:a16="http://schemas.microsoft.com/office/drawing/2014/main" id="{00000000-0008-0000-0000-00008A010000}"/>
                </a:ext>
              </a:extLst>
            </xdr:cNvPr>
            <xdr:cNvSpPr>
              <a:spLocks noChangeArrowheads="1"/>
            </xdr:cNvSpPr>
          </xdr:nvSpPr>
          <xdr:spPr bwMode="auto">
            <a:xfrm rot="-5381250">
              <a:off x="49" y="1012"/>
              <a:ext cx="11" cy="32"/>
            </a:xfrm>
            <a:prstGeom prst="flowChartManualInpu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95" name="AutoShape 24">
              <a:extLst>
                <a:ext uri="{FF2B5EF4-FFF2-40B4-BE49-F238E27FC236}">
                  <a16:creationId xmlns:a16="http://schemas.microsoft.com/office/drawing/2014/main" id="{00000000-0008-0000-0000-00008B010000}"/>
                </a:ext>
              </a:extLst>
            </xdr:cNvPr>
            <xdr:cNvSpPr>
              <a:spLocks noChangeArrowheads="1"/>
            </xdr:cNvSpPr>
          </xdr:nvSpPr>
          <xdr:spPr bwMode="auto">
            <a:xfrm rot="10800000">
              <a:off x="37" y="829"/>
              <a:ext cx="38" cy="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274 w 21600"/>
                <a:gd name="T13" fmla="*/ 0 h 21600"/>
                <a:gd name="T14" fmla="*/ 19326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96" name="AutoShape 25">
              <a:extLst>
                <a:ext uri="{FF2B5EF4-FFF2-40B4-BE49-F238E27FC236}">
                  <a16:creationId xmlns:a16="http://schemas.microsoft.com/office/drawing/2014/main" id="{00000000-0008-0000-0000-00008C010000}"/>
                </a:ext>
              </a:extLst>
            </xdr:cNvPr>
            <xdr:cNvSpPr>
              <a:spLocks noChangeArrowheads="1"/>
            </xdr:cNvSpPr>
          </xdr:nvSpPr>
          <xdr:spPr bwMode="auto">
            <a:xfrm rot="10800000">
              <a:off x="37" y="825"/>
              <a:ext cx="38" cy="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274 w 21600"/>
                <a:gd name="T13" fmla="*/ 0 h 21600"/>
                <a:gd name="T14" fmla="*/ 19326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97" name="Rectangle 26">
              <a:extLst>
                <a:ext uri="{FF2B5EF4-FFF2-40B4-BE49-F238E27FC236}">
                  <a16:creationId xmlns:a16="http://schemas.microsoft.com/office/drawing/2014/main" id="{00000000-0008-0000-0000-00008D010000}"/>
                </a:ext>
              </a:extLst>
            </xdr:cNvPr>
            <xdr:cNvSpPr>
              <a:spLocks noChangeArrowheads="1"/>
            </xdr:cNvSpPr>
          </xdr:nvSpPr>
          <xdr:spPr bwMode="auto">
            <a:xfrm>
              <a:off x="38" y="836"/>
              <a:ext cx="36" cy="6"/>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98" name="Rectangle 27">
              <a:extLst>
                <a:ext uri="{FF2B5EF4-FFF2-40B4-BE49-F238E27FC236}">
                  <a16:creationId xmlns:a16="http://schemas.microsoft.com/office/drawing/2014/main" id="{00000000-0008-0000-0000-00008E010000}"/>
                </a:ext>
              </a:extLst>
            </xdr:cNvPr>
            <xdr:cNvSpPr>
              <a:spLocks noChangeArrowheads="1"/>
            </xdr:cNvSpPr>
          </xdr:nvSpPr>
          <xdr:spPr bwMode="auto">
            <a:xfrm>
              <a:off x="44" y="842"/>
              <a:ext cx="24" cy="9"/>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99" name="Rectangle 28">
              <a:extLst>
                <a:ext uri="{FF2B5EF4-FFF2-40B4-BE49-F238E27FC236}">
                  <a16:creationId xmlns:a16="http://schemas.microsoft.com/office/drawing/2014/main" id="{00000000-0008-0000-0000-00008F010000}"/>
                </a:ext>
              </a:extLst>
            </xdr:cNvPr>
            <xdr:cNvSpPr>
              <a:spLocks noChangeArrowheads="1"/>
            </xdr:cNvSpPr>
          </xdr:nvSpPr>
          <xdr:spPr bwMode="auto">
            <a:xfrm>
              <a:off x="38" y="863"/>
              <a:ext cx="36" cy="31"/>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00" name="Rectangle 29">
              <a:extLst>
                <a:ext uri="{FF2B5EF4-FFF2-40B4-BE49-F238E27FC236}">
                  <a16:creationId xmlns:a16="http://schemas.microsoft.com/office/drawing/2014/main" id="{00000000-0008-0000-0000-000090010000}"/>
                </a:ext>
              </a:extLst>
            </xdr:cNvPr>
            <xdr:cNvSpPr>
              <a:spLocks noChangeArrowheads="1"/>
            </xdr:cNvSpPr>
          </xdr:nvSpPr>
          <xdr:spPr bwMode="auto">
            <a:xfrm>
              <a:off x="38" y="917"/>
              <a:ext cx="36" cy="15"/>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01" name="Rectangle 30">
              <a:extLst>
                <a:ext uri="{FF2B5EF4-FFF2-40B4-BE49-F238E27FC236}">
                  <a16:creationId xmlns:a16="http://schemas.microsoft.com/office/drawing/2014/main" id="{00000000-0008-0000-0000-000091010000}"/>
                </a:ext>
              </a:extLst>
            </xdr:cNvPr>
            <xdr:cNvSpPr>
              <a:spLocks noChangeArrowheads="1"/>
            </xdr:cNvSpPr>
          </xdr:nvSpPr>
          <xdr:spPr bwMode="auto">
            <a:xfrm>
              <a:off x="38" y="958"/>
              <a:ext cx="36" cy="31"/>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02" name="Rectangle 31">
              <a:extLst>
                <a:ext uri="{FF2B5EF4-FFF2-40B4-BE49-F238E27FC236}">
                  <a16:creationId xmlns:a16="http://schemas.microsoft.com/office/drawing/2014/main" id="{00000000-0008-0000-0000-000092010000}"/>
                </a:ext>
              </a:extLst>
            </xdr:cNvPr>
            <xdr:cNvSpPr>
              <a:spLocks noChangeArrowheads="1"/>
            </xdr:cNvSpPr>
          </xdr:nvSpPr>
          <xdr:spPr bwMode="auto">
            <a:xfrm>
              <a:off x="38" y="993"/>
              <a:ext cx="36" cy="11"/>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03" name="Rectangle 32">
              <a:extLst>
                <a:ext uri="{FF2B5EF4-FFF2-40B4-BE49-F238E27FC236}">
                  <a16:creationId xmlns:a16="http://schemas.microsoft.com/office/drawing/2014/main" id="{00000000-0008-0000-0000-000093010000}"/>
                </a:ext>
              </a:extLst>
            </xdr:cNvPr>
            <xdr:cNvSpPr>
              <a:spLocks noChangeArrowheads="1"/>
            </xdr:cNvSpPr>
          </xdr:nvSpPr>
          <xdr:spPr bwMode="auto">
            <a:xfrm>
              <a:off x="44" y="1007"/>
              <a:ext cx="24" cy="9"/>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04" name="Rectangle 33">
              <a:extLst>
                <a:ext uri="{FF2B5EF4-FFF2-40B4-BE49-F238E27FC236}">
                  <a16:creationId xmlns:a16="http://schemas.microsoft.com/office/drawing/2014/main" id="{00000000-0008-0000-0000-000094010000}"/>
                </a:ext>
              </a:extLst>
            </xdr:cNvPr>
            <xdr:cNvSpPr>
              <a:spLocks noChangeArrowheads="1"/>
            </xdr:cNvSpPr>
          </xdr:nvSpPr>
          <xdr:spPr bwMode="auto">
            <a:xfrm>
              <a:off x="38" y="1040"/>
              <a:ext cx="36" cy="31"/>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405" name="Rectangle 40">
              <a:extLst>
                <a:ext uri="{FF2B5EF4-FFF2-40B4-BE49-F238E27FC236}">
                  <a16:creationId xmlns:a16="http://schemas.microsoft.com/office/drawing/2014/main" id="{00000000-0008-0000-0000-000095010000}"/>
                </a:ext>
              </a:extLst>
            </xdr:cNvPr>
            <xdr:cNvSpPr>
              <a:spLocks noChangeArrowheads="1"/>
            </xdr:cNvSpPr>
          </xdr:nvSpPr>
          <xdr:spPr bwMode="auto">
            <a:xfrm>
              <a:off x="38" y="1072"/>
              <a:ext cx="36" cy="20"/>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grpSp>
      <xdr:sp macro="" textlink="">
        <xdr:nvSpPr>
          <xdr:cNvPr id="312" name="Line 332">
            <a:extLst>
              <a:ext uri="{FF2B5EF4-FFF2-40B4-BE49-F238E27FC236}">
                <a16:creationId xmlns:a16="http://schemas.microsoft.com/office/drawing/2014/main" id="{00000000-0008-0000-0000-000038010000}"/>
              </a:ext>
            </a:extLst>
          </xdr:cNvPr>
          <xdr:cNvSpPr>
            <a:spLocks noChangeShapeType="1"/>
          </xdr:cNvSpPr>
        </xdr:nvSpPr>
        <xdr:spPr bwMode="auto">
          <a:xfrm>
            <a:off x="44" y="1118"/>
            <a:ext cx="24"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 name="AutoShape 433">
            <a:extLst>
              <a:ext uri="{FF2B5EF4-FFF2-40B4-BE49-F238E27FC236}">
                <a16:creationId xmlns:a16="http://schemas.microsoft.com/office/drawing/2014/main" id="{00000000-0008-0000-0000-000039010000}"/>
              </a:ext>
            </a:extLst>
          </xdr:cNvPr>
          <xdr:cNvSpPr>
            <a:spLocks noChangeArrowheads="1"/>
          </xdr:cNvSpPr>
        </xdr:nvSpPr>
        <xdr:spPr bwMode="auto">
          <a:xfrm rot="10800000">
            <a:off x="37" y="857"/>
            <a:ext cx="38" cy="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274 w 21600"/>
              <a:gd name="T13" fmla="*/ 0 h 21600"/>
              <a:gd name="T14" fmla="*/ 19326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314" name="AutoShape 434">
            <a:extLst>
              <a:ext uri="{FF2B5EF4-FFF2-40B4-BE49-F238E27FC236}">
                <a16:creationId xmlns:a16="http://schemas.microsoft.com/office/drawing/2014/main" id="{00000000-0008-0000-0000-00003A010000}"/>
              </a:ext>
            </a:extLst>
          </xdr:cNvPr>
          <xdr:cNvSpPr>
            <a:spLocks noChangeArrowheads="1"/>
          </xdr:cNvSpPr>
        </xdr:nvSpPr>
        <xdr:spPr bwMode="auto">
          <a:xfrm rot="10800000">
            <a:off x="37" y="855"/>
            <a:ext cx="38" cy="1"/>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274 w 21600"/>
              <a:gd name="T13" fmla="*/ 0 h 21600"/>
              <a:gd name="T14" fmla="*/ 19326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315" name="AutoShape 435">
            <a:extLst>
              <a:ext uri="{FF2B5EF4-FFF2-40B4-BE49-F238E27FC236}">
                <a16:creationId xmlns:a16="http://schemas.microsoft.com/office/drawing/2014/main" id="{00000000-0008-0000-0000-00003B010000}"/>
              </a:ext>
            </a:extLst>
          </xdr:cNvPr>
          <xdr:cNvSpPr>
            <a:spLocks noChangeArrowheads="1"/>
          </xdr:cNvSpPr>
        </xdr:nvSpPr>
        <xdr:spPr bwMode="auto">
          <a:xfrm rot="10800000">
            <a:off x="37" y="853"/>
            <a:ext cx="38" cy="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274 w 21600"/>
              <a:gd name="T13" fmla="*/ 0 h 21600"/>
              <a:gd name="T14" fmla="*/ 19326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316" name="AutoShape 436">
            <a:extLst>
              <a:ext uri="{FF2B5EF4-FFF2-40B4-BE49-F238E27FC236}">
                <a16:creationId xmlns:a16="http://schemas.microsoft.com/office/drawing/2014/main" id="{00000000-0008-0000-0000-00003C010000}"/>
              </a:ext>
            </a:extLst>
          </xdr:cNvPr>
          <xdr:cNvSpPr>
            <a:spLocks noChangeArrowheads="1"/>
          </xdr:cNvSpPr>
        </xdr:nvSpPr>
        <xdr:spPr bwMode="auto">
          <a:xfrm rot="10800000">
            <a:off x="37" y="849"/>
            <a:ext cx="38" cy="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274 w 21600"/>
              <a:gd name="T13" fmla="*/ 0 h 21600"/>
              <a:gd name="T14" fmla="*/ 19326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317" name="Rectangle 437">
            <a:extLst>
              <a:ext uri="{FF2B5EF4-FFF2-40B4-BE49-F238E27FC236}">
                <a16:creationId xmlns:a16="http://schemas.microsoft.com/office/drawing/2014/main" id="{00000000-0008-0000-0000-00003D010000}"/>
              </a:ext>
            </a:extLst>
          </xdr:cNvPr>
          <xdr:cNvSpPr>
            <a:spLocks noChangeArrowheads="1"/>
          </xdr:cNvSpPr>
        </xdr:nvSpPr>
        <xdr:spPr bwMode="auto">
          <a:xfrm>
            <a:off x="38" y="884"/>
            <a:ext cx="36" cy="3"/>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18" name="Rectangle 438">
            <a:extLst>
              <a:ext uri="{FF2B5EF4-FFF2-40B4-BE49-F238E27FC236}">
                <a16:creationId xmlns:a16="http://schemas.microsoft.com/office/drawing/2014/main" id="{00000000-0008-0000-0000-00003E010000}"/>
              </a:ext>
            </a:extLst>
          </xdr:cNvPr>
          <xdr:cNvSpPr>
            <a:spLocks noChangeArrowheads="1"/>
          </xdr:cNvSpPr>
        </xdr:nvSpPr>
        <xdr:spPr bwMode="auto">
          <a:xfrm>
            <a:off x="41" y="927"/>
            <a:ext cx="4" cy="3"/>
          </a:xfrm>
          <a:prstGeom prst="rect">
            <a:avLst/>
          </a:prstGeom>
          <a:solidFill>
            <a:srgbClr val="FF0000"/>
          </a:solidFill>
          <a:ln w="9525">
            <a:solidFill>
              <a:srgbClr val="000000"/>
            </a:solidFill>
            <a:miter lim="800000"/>
            <a:headEnd/>
            <a:tailEnd/>
          </a:ln>
        </xdr:spPr>
      </xdr:sp>
      <xdr:sp macro="" textlink="">
        <xdr:nvSpPr>
          <xdr:cNvPr id="319" name="Rectangle 439">
            <a:extLst>
              <a:ext uri="{FF2B5EF4-FFF2-40B4-BE49-F238E27FC236}">
                <a16:creationId xmlns:a16="http://schemas.microsoft.com/office/drawing/2014/main" id="{00000000-0008-0000-0000-00003F010000}"/>
              </a:ext>
            </a:extLst>
          </xdr:cNvPr>
          <xdr:cNvSpPr>
            <a:spLocks noChangeArrowheads="1"/>
          </xdr:cNvSpPr>
        </xdr:nvSpPr>
        <xdr:spPr bwMode="auto">
          <a:xfrm>
            <a:off x="38" y="929"/>
            <a:ext cx="36" cy="2"/>
          </a:xfrm>
          <a:prstGeom prst="rect">
            <a:avLst/>
          </a:prstGeom>
          <a:solidFill>
            <a:srgbClr val="FF0000"/>
          </a:solidFill>
          <a:ln w="9525">
            <a:solidFill>
              <a:srgbClr val="000000"/>
            </a:solidFill>
            <a:miter lim="800000"/>
            <a:headEnd/>
            <a:tailEnd/>
          </a:ln>
        </xdr:spPr>
      </xdr:sp>
      <xdr:sp macro="" textlink="">
        <xdr:nvSpPr>
          <xdr:cNvPr id="320" name="Rectangle 440">
            <a:extLst>
              <a:ext uri="{FF2B5EF4-FFF2-40B4-BE49-F238E27FC236}">
                <a16:creationId xmlns:a16="http://schemas.microsoft.com/office/drawing/2014/main" id="{00000000-0008-0000-0000-000040010000}"/>
              </a:ext>
            </a:extLst>
          </xdr:cNvPr>
          <xdr:cNvSpPr>
            <a:spLocks noChangeArrowheads="1"/>
          </xdr:cNvSpPr>
        </xdr:nvSpPr>
        <xdr:spPr bwMode="auto">
          <a:xfrm>
            <a:off x="68" y="927"/>
            <a:ext cx="4" cy="2"/>
          </a:xfrm>
          <a:prstGeom prst="rect">
            <a:avLst/>
          </a:prstGeom>
          <a:solidFill>
            <a:srgbClr val="FF0000"/>
          </a:solidFill>
          <a:ln w="9525">
            <a:solidFill>
              <a:srgbClr val="000000"/>
            </a:solidFill>
            <a:miter lim="800000"/>
            <a:headEnd/>
            <a:tailEnd/>
          </a:ln>
        </xdr:spPr>
      </xdr:sp>
      <xdr:sp macro="" textlink="">
        <xdr:nvSpPr>
          <xdr:cNvPr id="321" name="Rectangle 441">
            <a:extLst>
              <a:ext uri="{FF2B5EF4-FFF2-40B4-BE49-F238E27FC236}">
                <a16:creationId xmlns:a16="http://schemas.microsoft.com/office/drawing/2014/main" id="{00000000-0008-0000-0000-000041010000}"/>
              </a:ext>
            </a:extLst>
          </xdr:cNvPr>
          <xdr:cNvSpPr>
            <a:spLocks noChangeArrowheads="1"/>
          </xdr:cNvSpPr>
        </xdr:nvSpPr>
        <xdr:spPr bwMode="auto">
          <a:xfrm>
            <a:off x="58" y="927"/>
            <a:ext cx="5" cy="2"/>
          </a:xfrm>
          <a:prstGeom prst="rect">
            <a:avLst/>
          </a:prstGeom>
          <a:solidFill>
            <a:srgbClr val="FF0000"/>
          </a:solidFill>
          <a:ln w="9525">
            <a:solidFill>
              <a:srgbClr val="000000"/>
            </a:solidFill>
            <a:miter lim="800000"/>
            <a:headEnd/>
            <a:tailEnd/>
          </a:ln>
        </xdr:spPr>
      </xdr:sp>
      <xdr:sp macro="" textlink="">
        <xdr:nvSpPr>
          <xdr:cNvPr id="322" name="Rectangle 442">
            <a:extLst>
              <a:ext uri="{FF2B5EF4-FFF2-40B4-BE49-F238E27FC236}">
                <a16:creationId xmlns:a16="http://schemas.microsoft.com/office/drawing/2014/main" id="{00000000-0008-0000-0000-000042010000}"/>
              </a:ext>
            </a:extLst>
          </xdr:cNvPr>
          <xdr:cNvSpPr>
            <a:spLocks noChangeArrowheads="1"/>
          </xdr:cNvSpPr>
        </xdr:nvSpPr>
        <xdr:spPr bwMode="auto">
          <a:xfrm>
            <a:off x="49" y="927"/>
            <a:ext cx="4" cy="2"/>
          </a:xfrm>
          <a:prstGeom prst="rect">
            <a:avLst/>
          </a:prstGeom>
          <a:solidFill>
            <a:srgbClr val="FF0000"/>
          </a:solidFill>
          <a:ln w="9525">
            <a:solidFill>
              <a:srgbClr val="000000"/>
            </a:solidFill>
            <a:miter lim="800000"/>
            <a:headEnd/>
            <a:tailEnd/>
          </a:ln>
        </xdr:spPr>
      </xdr:sp>
      <xdr:sp macro="" textlink="">
        <xdr:nvSpPr>
          <xdr:cNvPr id="323" name="AutoShape 443">
            <a:extLst>
              <a:ext uri="{FF2B5EF4-FFF2-40B4-BE49-F238E27FC236}">
                <a16:creationId xmlns:a16="http://schemas.microsoft.com/office/drawing/2014/main" id="{00000000-0008-0000-0000-000043010000}"/>
              </a:ext>
            </a:extLst>
          </xdr:cNvPr>
          <xdr:cNvSpPr>
            <a:spLocks noChangeArrowheads="1"/>
          </xdr:cNvSpPr>
        </xdr:nvSpPr>
        <xdr:spPr bwMode="auto">
          <a:xfrm>
            <a:off x="39" y="956"/>
            <a:ext cx="35" cy="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703 w 21600"/>
              <a:gd name="T13" fmla="*/ 0 h 21600"/>
              <a:gd name="T14" fmla="*/ 17897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3677" y="21600"/>
                </a:lnTo>
                <a:lnTo>
                  <a:pt x="17923"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324" name="Rectangle 444">
            <a:extLst>
              <a:ext uri="{FF2B5EF4-FFF2-40B4-BE49-F238E27FC236}">
                <a16:creationId xmlns:a16="http://schemas.microsoft.com/office/drawing/2014/main" id="{00000000-0008-0000-0000-000044010000}"/>
              </a:ext>
            </a:extLst>
          </xdr:cNvPr>
          <xdr:cNvSpPr>
            <a:spLocks noChangeArrowheads="1"/>
          </xdr:cNvSpPr>
        </xdr:nvSpPr>
        <xdr:spPr bwMode="auto">
          <a:xfrm>
            <a:off x="67" y="965"/>
            <a:ext cx="4" cy="1"/>
          </a:xfrm>
          <a:prstGeom prst="rect">
            <a:avLst/>
          </a:prstGeom>
          <a:solidFill>
            <a:srgbClr val="FF0000"/>
          </a:solidFill>
          <a:ln w="9525">
            <a:solidFill>
              <a:srgbClr val="000000"/>
            </a:solidFill>
            <a:miter lim="800000"/>
            <a:headEnd/>
            <a:tailEnd/>
          </a:ln>
        </xdr:spPr>
      </xdr:sp>
      <xdr:sp macro="" textlink="">
        <xdr:nvSpPr>
          <xdr:cNvPr id="325" name="Rectangle 445">
            <a:extLst>
              <a:ext uri="{FF2B5EF4-FFF2-40B4-BE49-F238E27FC236}">
                <a16:creationId xmlns:a16="http://schemas.microsoft.com/office/drawing/2014/main" id="{00000000-0008-0000-0000-000045010000}"/>
              </a:ext>
            </a:extLst>
          </xdr:cNvPr>
          <xdr:cNvSpPr>
            <a:spLocks noChangeArrowheads="1"/>
          </xdr:cNvSpPr>
        </xdr:nvSpPr>
        <xdr:spPr bwMode="auto">
          <a:xfrm>
            <a:off x="40" y="975"/>
            <a:ext cx="31" cy="2"/>
          </a:xfrm>
          <a:prstGeom prst="rect">
            <a:avLst/>
          </a:prstGeom>
          <a:solidFill>
            <a:srgbClr val="FF0000"/>
          </a:solidFill>
          <a:ln w="9525">
            <a:solidFill>
              <a:srgbClr val="000000"/>
            </a:solidFill>
            <a:miter lim="800000"/>
            <a:headEnd/>
            <a:tailEnd/>
          </a:ln>
        </xdr:spPr>
      </xdr:sp>
      <xdr:sp macro="" textlink="">
        <xdr:nvSpPr>
          <xdr:cNvPr id="326" name="Rectangle 446">
            <a:extLst>
              <a:ext uri="{FF2B5EF4-FFF2-40B4-BE49-F238E27FC236}">
                <a16:creationId xmlns:a16="http://schemas.microsoft.com/office/drawing/2014/main" id="{00000000-0008-0000-0000-000046010000}"/>
              </a:ext>
            </a:extLst>
          </xdr:cNvPr>
          <xdr:cNvSpPr>
            <a:spLocks noChangeArrowheads="1"/>
          </xdr:cNvSpPr>
        </xdr:nvSpPr>
        <xdr:spPr bwMode="auto">
          <a:xfrm>
            <a:off x="38" y="1012"/>
            <a:ext cx="36" cy="4"/>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27" name="Rectangle 447">
            <a:extLst>
              <a:ext uri="{FF2B5EF4-FFF2-40B4-BE49-F238E27FC236}">
                <a16:creationId xmlns:a16="http://schemas.microsoft.com/office/drawing/2014/main" id="{00000000-0008-0000-0000-000047010000}"/>
              </a:ext>
            </a:extLst>
          </xdr:cNvPr>
          <xdr:cNvSpPr>
            <a:spLocks noChangeArrowheads="1"/>
          </xdr:cNvSpPr>
        </xdr:nvSpPr>
        <xdr:spPr bwMode="auto">
          <a:xfrm>
            <a:off x="40" y="1068"/>
            <a:ext cx="8" cy="3"/>
          </a:xfrm>
          <a:prstGeom prst="rect">
            <a:avLst/>
          </a:prstGeom>
          <a:solidFill>
            <a:srgbClr val="FF0000"/>
          </a:solidFill>
          <a:ln w="9525">
            <a:solidFill>
              <a:srgbClr val="000000"/>
            </a:solidFill>
            <a:miter lim="800000"/>
            <a:headEnd/>
            <a:tailEnd/>
          </a:ln>
        </xdr:spPr>
      </xdr:sp>
      <xdr:sp macro="" textlink="">
        <xdr:nvSpPr>
          <xdr:cNvPr id="328" name="AutoShape 448">
            <a:extLst>
              <a:ext uri="{FF2B5EF4-FFF2-40B4-BE49-F238E27FC236}">
                <a16:creationId xmlns:a16="http://schemas.microsoft.com/office/drawing/2014/main" id="{00000000-0008-0000-0000-000048010000}"/>
              </a:ext>
            </a:extLst>
          </xdr:cNvPr>
          <xdr:cNvSpPr>
            <a:spLocks noChangeArrowheads="1"/>
          </xdr:cNvSpPr>
        </xdr:nvSpPr>
        <xdr:spPr bwMode="auto">
          <a:xfrm rot="10800000">
            <a:off x="37" y="851"/>
            <a:ext cx="38" cy="1"/>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274 w 21600"/>
              <a:gd name="T13" fmla="*/ 0 h 21600"/>
              <a:gd name="T14" fmla="*/ 19326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grpSp>
        <xdr:nvGrpSpPr>
          <xdr:cNvPr id="329" name="Group 449">
            <a:extLst>
              <a:ext uri="{FF2B5EF4-FFF2-40B4-BE49-F238E27FC236}">
                <a16:creationId xmlns:a16="http://schemas.microsoft.com/office/drawing/2014/main" id="{00000000-0008-0000-0000-000049010000}"/>
              </a:ext>
            </a:extLst>
          </xdr:cNvPr>
          <xdr:cNvGrpSpPr>
            <a:grpSpLocks/>
          </xdr:cNvGrpSpPr>
        </xdr:nvGrpSpPr>
        <xdr:grpSpPr bwMode="auto">
          <a:xfrm>
            <a:off x="39" y="941"/>
            <a:ext cx="34" cy="13"/>
            <a:chOff x="39" y="918"/>
            <a:chExt cx="34" cy="13"/>
          </a:xfrm>
        </xdr:grpSpPr>
        <xdr:grpSp>
          <xdr:nvGrpSpPr>
            <xdr:cNvPr id="347" name="Group 450">
              <a:extLst>
                <a:ext uri="{FF2B5EF4-FFF2-40B4-BE49-F238E27FC236}">
                  <a16:creationId xmlns:a16="http://schemas.microsoft.com/office/drawing/2014/main" id="{00000000-0008-0000-0000-00005B010000}"/>
                </a:ext>
              </a:extLst>
            </xdr:cNvPr>
            <xdr:cNvGrpSpPr>
              <a:grpSpLocks/>
            </xdr:cNvGrpSpPr>
          </xdr:nvGrpSpPr>
          <xdr:grpSpPr bwMode="auto">
            <a:xfrm>
              <a:off x="39" y="918"/>
              <a:ext cx="34" cy="3"/>
              <a:chOff x="361" y="366"/>
              <a:chExt cx="51" cy="14"/>
            </a:xfrm>
          </xdr:grpSpPr>
          <xdr:sp macro="" textlink="">
            <xdr:nvSpPr>
              <xdr:cNvPr id="378" name="AutoShape 451">
                <a:extLst>
                  <a:ext uri="{FF2B5EF4-FFF2-40B4-BE49-F238E27FC236}">
                    <a16:creationId xmlns:a16="http://schemas.microsoft.com/office/drawing/2014/main" id="{00000000-0008-0000-0000-00007A010000}"/>
                  </a:ext>
                </a:extLst>
              </xdr:cNvPr>
              <xdr:cNvSpPr>
                <a:spLocks noChangeArrowheads="1"/>
              </xdr:cNvSpPr>
            </xdr:nvSpPr>
            <xdr:spPr bwMode="auto">
              <a:xfrm>
                <a:off x="361" y="366"/>
                <a:ext cx="3" cy="14"/>
              </a:xfrm>
              <a:prstGeom prst="flowChartTerminator">
                <a:avLst/>
              </a:prstGeom>
              <a:solidFill>
                <a:srgbClr val="FF0000"/>
              </a:solidFill>
              <a:ln w="9525">
                <a:solidFill>
                  <a:srgbClr val="000000"/>
                </a:solidFill>
                <a:miter lim="800000"/>
                <a:headEnd/>
                <a:tailEnd/>
              </a:ln>
            </xdr:spPr>
          </xdr:sp>
          <xdr:sp macro="" textlink="">
            <xdr:nvSpPr>
              <xdr:cNvPr id="379" name="AutoShape 452">
                <a:extLst>
                  <a:ext uri="{FF2B5EF4-FFF2-40B4-BE49-F238E27FC236}">
                    <a16:creationId xmlns:a16="http://schemas.microsoft.com/office/drawing/2014/main" id="{00000000-0008-0000-0000-00007B010000}"/>
                  </a:ext>
                </a:extLst>
              </xdr:cNvPr>
              <xdr:cNvSpPr>
                <a:spLocks noChangeArrowheads="1"/>
              </xdr:cNvSpPr>
            </xdr:nvSpPr>
            <xdr:spPr bwMode="auto">
              <a:xfrm>
                <a:off x="367" y="366"/>
                <a:ext cx="3" cy="14"/>
              </a:xfrm>
              <a:prstGeom prst="flowChartTerminator">
                <a:avLst/>
              </a:prstGeom>
              <a:solidFill>
                <a:srgbClr val="FF0000"/>
              </a:solidFill>
              <a:ln w="9525">
                <a:solidFill>
                  <a:srgbClr val="000000"/>
                </a:solidFill>
                <a:miter lim="800000"/>
                <a:headEnd/>
                <a:tailEnd/>
              </a:ln>
            </xdr:spPr>
          </xdr:sp>
          <xdr:sp macro="" textlink="">
            <xdr:nvSpPr>
              <xdr:cNvPr id="380" name="AutoShape 453">
                <a:extLst>
                  <a:ext uri="{FF2B5EF4-FFF2-40B4-BE49-F238E27FC236}">
                    <a16:creationId xmlns:a16="http://schemas.microsoft.com/office/drawing/2014/main" id="{00000000-0008-0000-0000-00007C010000}"/>
                  </a:ext>
                </a:extLst>
              </xdr:cNvPr>
              <xdr:cNvSpPr>
                <a:spLocks noChangeArrowheads="1"/>
              </xdr:cNvSpPr>
            </xdr:nvSpPr>
            <xdr:spPr bwMode="auto">
              <a:xfrm>
                <a:off x="373" y="366"/>
                <a:ext cx="3" cy="14"/>
              </a:xfrm>
              <a:prstGeom prst="flowChartTerminator">
                <a:avLst/>
              </a:prstGeom>
              <a:solidFill>
                <a:srgbClr val="FF0000"/>
              </a:solidFill>
              <a:ln w="9525">
                <a:solidFill>
                  <a:srgbClr val="000000"/>
                </a:solidFill>
                <a:miter lim="800000"/>
                <a:headEnd/>
                <a:tailEnd/>
              </a:ln>
            </xdr:spPr>
          </xdr:sp>
          <xdr:sp macro="" textlink="">
            <xdr:nvSpPr>
              <xdr:cNvPr id="381" name="AutoShape 454">
                <a:extLst>
                  <a:ext uri="{FF2B5EF4-FFF2-40B4-BE49-F238E27FC236}">
                    <a16:creationId xmlns:a16="http://schemas.microsoft.com/office/drawing/2014/main" id="{00000000-0008-0000-0000-00007D010000}"/>
                  </a:ext>
                </a:extLst>
              </xdr:cNvPr>
              <xdr:cNvSpPr>
                <a:spLocks noChangeArrowheads="1"/>
              </xdr:cNvSpPr>
            </xdr:nvSpPr>
            <xdr:spPr bwMode="auto">
              <a:xfrm>
                <a:off x="379" y="366"/>
                <a:ext cx="3" cy="14"/>
              </a:xfrm>
              <a:prstGeom prst="flowChartTerminator">
                <a:avLst/>
              </a:prstGeom>
              <a:solidFill>
                <a:srgbClr val="FF0000"/>
              </a:solidFill>
              <a:ln w="9525">
                <a:solidFill>
                  <a:srgbClr val="000000"/>
                </a:solidFill>
                <a:miter lim="800000"/>
                <a:headEnd/>
                <a:tailEnd/>
              </a:ln>
            </xdr:spPr>
          </xdr:sp>
          <xdr:sp macro="" textlink="">
            <xdr:nvSpPr>
              <xdr:cNvPr id="382" name="AutoShape 455">
                <a:extLst>
                  <a:ext uri="{FF2B5EF4-FFF2-40B4-BE49-F238E27FC236}">
                    <a16:creationId xmlns:a16="http://schemas.microsoft.com/office/drawing/2014/main" id="{00000000-0008-0000-0000-00007E010000}"/>
                  </a:ext>
                </a:extLst>
              </xdr:cNvPr>
              <xdr:cNvSpPr>
                <a:spLocks noChangeArrowheads="1"/>
              </xdr:cNvSpPr>
            </xdr:nvSpPr>
            <xdr:spPr bwMode="auto">
              <a:xfrm>
                <a:off x="385" y="366"/>
                <a:ext cx="3" cy="14"/>
              </a:xfrm>
              <a:prstGeom prst="flowChartTerminator">
                <a:avLst/>
              </a:prstGeom>
              <a:solidFill>
                <a:srgbClr val="FF0000"/>
              </a:solidFill>
              <a:ln w="9525">
                <a:solidFill>
                  <a:srgbClr val="000000"/>
                </a:solidFill>
                <a:miter lim="800000"/>
                <a:headEnd/>
                <a:tailEnd/>
              </a:ln>
            </xdr:spPr>
          </xdr:sp>
          <xdr:sp macro="" textlink="">
            <xdr:nvSpPr>
              <xdr:cNvPr id="383" name="AutoShape 456">
                <a:extLst>
                  <a:ext uri="{FF2B5EF4-FFF2-40B4-BE49-F238E27FC236}">
                    <a16:creationId xmlns:a16="http://schemas.microsoft.com/office/drawing/2014/main" id="{00000000-0008-0000-0000-00007F010000}"/>
                  </a:ext>
                </a:extLst>
              </xdr:cNvPr>
              <xdr:cNvSpPr>
                <a:spLocks noChangeArrowheads="1"/>
              </xdr:cNvSpPr>
            </xdr:nvSpPr>
            <xdr:spPr bwMode="auto">
              <a:xfrm>
                <a:off x="391" y="366"/>
                <a:ext cx="3" cy="14"/>
              </a:xfrm>
              <a:prstGeom prst="flowChartTerminator">
                <a:avLst/>
              </a:prstGeom>
              <a:solidFill>
                <a:srgbClr val="FF0000"/>
              </a:solidFill>
              <a:ln w="9525">
                <a:solidFill>
                  <a:srgbClr val="000000"/>
                </a:solidFill>
                <a:miter lim="800000"/>
                <a:headEnd/>
                <a:tailEnd/>
              </a:ln>
            </xdr:spPr>
          </xdr:sp>
          <xdr:sp macro="" textlink="">
            <xdr:nvSpPr>
              <xdr:cNvPr id="384" name="AutoShape 457">
                <a:extLst>
                  <a:ext uri="{FF2B5EF4-FFF2-40B4-BE49-F238E27FC236}">
                    <a16:creationId xmlns:a16="http://schemas.microsoft.com/office/drawing/2014/main" id="{00000000-0008-0000-0000-000080010000}"/>
                  </a:ext>
                </a:extLst>
              </xdr:cNvPr>
              <xdr:cNvSpPr>
                <a:spLocks noChangeArrowheads="1"/>
              </xdr:cNvSpPr>
            </xdr:nvSpPr>
            <xdr:spPr bwMode="auto">
              <a:xfrm>
                <a:off x="397" y="366"/>
                <a:ext cx="3" cy="14"/>
              </a:xfrm>
              <a:prstGeom prst="flowChartTerminator">
                <a:avLst/>
              </a:prstGeom>
              <a:solidFill>
                <a:srgbClr val="FF0000"/>
              </a:solidFill>
              <a:ln w="9525">
                <a:solidFill>
                  <a:srgbClr val="000000"/>
                </a:solidFill>
                <a:miter lim="800000"/>
                <a:headEnd/>
                <a:tailEnd/>
              </a:ln>
            </xdr:spPr>
          </xdr:sp>
          <xdr:sp macro="" textlink="">
            <xdr:nvSpPr>
              <xdr:cNvPr id="385" name="AutoShape 458">
                <a:extLst>
                  <a:ext uri="{FF2B5EF4-FFF2-40B4-BE49-F238E27FC236}">
                    <a16:creationId xmlns:a16="http://schemas.microsoft.com/office/drawing/2014/main" id="{00000000-0008-0000-0000-000081010000}"/>
                  </a:ext>
                </a:extLst>
              </xdr:cNvPr>
              <xdr:cNvSpPr>
                <a:spLocks noChangeArrowheads="1"/>
              </xdr:cNvSpPr>
            </xdr:nvSpPr>
            <xdr:spPr bwMode="auto">
              <a:xfrm>
                <a:off x="403" y="366"/>
                <a:ext cx="3" cy="14"/>
              </a:xfrm>
              <a:prstGeom prst="flowChartTerminator">
                <a:avLst/>
              </a:prstGeom>
              <a:solidFill>
                <a:srgbClr val="FF0000"/>
              </a:solidFill>
              <a:ln w="9525">
                <a:solidFill>
                  <a:srgbClr val="000000"/>
                </a:solidFill>
                <a:miter lim="800000"/>
                <a:headEnd/>
                <a:tailEnd/>
              </a:ln>
            </xdr:spPr>
          </xdr:sp>
          <xdr:sp macro="" textlink="">
            <xdr:nvSpPr>
              <xdr:cNvPr id="386" name="AutoShape 459">
                <a:extLst>
                  <a:ext uri="{FF2B5EF4-FFF2-40B4-BE49-F238E27FC236}">
                    <a16:creationId xmlns:a16="http://schemas.microsoft.com/office/drawing/2014/main" id="{00000000-0008-0000-0000-000082010000}"/>
                  </a:ext>
                </a:extLst>
              </xdr:cNvPr>
              <xdr:cNvSpPr>
                <a:spLocks noChangeArrowheads="1"/>
              </xdr:cNvSpPr>
            </xdr:nvSpPr>
            <xdr:spPr bwMode="auto">
              <a:xfrm>
                <a:off x="409" y="366"/>
                <a:ext cx="3" cy="14"/>
              </a:xfrm>
              <a:prstGeom prst="flowChartTerminator">
                <a:avLst/>
              </a:prstGeom>
              <a:solidFill>
                <a:srgbClr val="FF0000"/>
              </a:solidFill>
              <a:ln w="9525">
                <a:solidFill>
                  <a:srgbClr val="000000"/>
                </a:solidFill>
                <a:miter lim="800000"/>
                <a:headEnd/>
                <a:tailEnd/>
              </a:ln>
            </xdr:spPr>
          </xdr:sp>
        </xdr:grpSp>
        <xdr:grpSp>
          <xdr:nvGrpSpPr>
            <xdr:cNvPr id="348" name="Group 460">
              <a:extLst>
                <a:ext uri="{FF2B5EF4-FFF2-40B4-BE49-F238E27FC236}">
                  <a16:creationId xmlns:a16="http://schemas.microsoft.com/office/drawing/2014/main" id="{00000000-0008-0000-0000-00005C010000}"/>
                </a:ext>
              </a:extLst>
            </xdr:cNvPr>
            <xdr:cNvGrpSpPr>
              <a:grpSpLocks/>
            </xdr:cNvGrpSpPr>
          </xdr:nvGrpSpPr>
          <xdr:grpSpPr bwMode="auto">
            <a:xfrm>
              <a:off x="39" y="921"/>
              <a:ext cx="34" cy="3"/>
              <a:chOff x="361" y="366"/>
              <a:chExt cx="51" cy="14"/>
            </a:xfrm>
          </xdr:grpSpPr>
          <xdr:sp macro="" textlink="">
            <xdr:nvSpPr>
              <xdr:cNvPr id="369" name="AutoShape 461">
                <a:extLst>
                  <a:ext uri="{FF2B5EF4-FFF2-40B4-BE49-F238E27FC236}">
                    <a16:creationId xmlns:a16="http://schemas.microsoft.com/office/drawing/2014/main" id="{00000000-0008-0000-0000-000071010000}"/>
                  </a:ext>
                </a:extLst>
              </xdr:cNvPr>
              <xdr:cNvSpPr>
                <a:spLocks noChangeArrowheads="1"/>
              </xdr:cNvSpPr>
            </xdr:nvSpPr>
            <xdr:spPr bwMode="auto">
              <a:xfrm>
                <a:off x="361" y="366"/>
                <a:ext cx="3" cy="14"/>
              </a:xfrm>
              <a:prstGeom prst="flowChartTerminator">
                <a:avLst/>
              </a:prstGeom>
              <a:solidFill>
                <a:srgbClr val="FF0000"/>
              </a:solidFill>
              <a:ln w="9525">
                <a:solidFill>
                  <a:srgbClr val="000000"/>
                </a:solidFill>
                <a:miter lim="800000"/>
                <a:headEnd/>
                <a:tailEnd/>
              </a:ln>
            </xdr:spPr>
          </xdr:sp>
          <xdr:sp macro="" textlink="">
            <xdr:nvSpPr>
              <xdr:cNvPr id="370" name="AutoShape 462">
                <a:extLst>
                  <a:ext uri="{FF2B5EF4-FFF2-40B4-BE49-F238E27FC236}">
                    <a16:creationId xmlns:a16="http://schemas.microsoft.com/office/drawing/2014/main" id="{00000000-0008-0000-0000-000072010000}"/>
                  </a:ext>
                </a:extLst>
              </xdr:cNvPr>
              <xdr:cNvSpPr>
                <a:spLocks noChangeArrowheads="1"/>
              </xdr:cNvSpPr>
            </xdr:nvSpPr>
            <xdr:spPr bwMode="auto">
              <a:xfrm>
                <a:off x="367" y="366"/>
                <a:ext cx="3" cy="14"/>
              </a:xfrm>
              <a:prstGeom prst="flowChartTerminator">
                <a:avLst/>
              </a:prstGeom>
              <a:solidFill>
                <a:srgbClr val="FF0000"/>
              </a:solidFill>
              <a:ln w="9525">
                <a:solidFill>
                  <a:srgbClr val="000000"/>
                </a:solidFill>
                <a:miter lim="800000"/>
                <a:headEnd/>
                <a:tailEnd/>
              </a:ln>
            </xdr:spPr>
          </xdr:sp>
          <xdr:sp macro="" textlink="">
            <xdr:nvSpPr>
              <xdr:cNvPr id="371" name="AutoShape 463">
                <a:extLst>
                  <a:ext uri="{FF2B5EF4-FFF2-40B4-BE49-F238E27FC236}">
                    <a16:creationId xmlns:a16="http://schemas.microsoft.com/office/drawing/2014/main" id="{00000000-0008-0000-0000-000073010000}"/>
                  </a:ext>
                </a:extLst>
              </xdr:cNvPr>
              <xdr:cNvSpPr>
                <a:spLocks noChangeArrowheads="1"/>
              </xdr:cNvSpPr>
            </xdr:nvSpPr>
            <xdr:spPr bwMode="auto">
              <a:xfrm>
                <a:off x="373" y="366"/>
                <a:ext cx="3" cy="14"/>
              </a:xfrm>
              <a:prstGeom prst="flowChartTerminator">
                <a:avLst/>
              </a:prstGeom>
              <a:solidFill>
                <a:srgbClr val="FF0000"/>
              </a:solidFill>
              <a:ln w="9525">
                <a:solidFill>
                  <a:srgbClr val="000000"/>
                </a:solidFill>
                <a:miter lim="800000"/>
                <a:headEnd/>
                <a:tailEnd/>
              </a:ln>
            </xdr:spPr>
          </xdr:sp>
          <xdr:sp macro="" textlink="">
            <xdr:nvSpPr>
              <xdr:cNvPr id="372" name="AutoShape 464">
                <a:extLst>
                  <a:ext uri="{FF2B5EF4-FFF2-40B4-BE49-F238E27FC236}">
                    <a16:creationId xmlns:a16="http://schemas.microsoft.com/office/drawing/2014/main" id="{00000000-0008-0000-0000-000074010000}"/>
                  </a:ext>
                </a:extLst>
              </xdr:cNvPr>
              <xdr:cNvSpPr>
                <a:spLocks noChangeArrowheads="1"/>
              </xdr:cNvSpPr>
            </xdr:nvSpPr>
            <xdr:spPr bwMode="auto">
              <a:xfrm>
                <a:off x="379" y="366"/>
                <a:ext cx="3" cy="14"/>
              </a:xfrm>
              <a:prstGeom prst="flowChartTerminator">
                <a:avLst/>
              </a:prstGeom>
              <a:solidFill>
                <a:srgbClr val="FF0000"/>
              </a:solidFill>
              <a:ln w="9525">
                <a:solidFill>
                  <a:srgbClr val="000000"/>
                </a:solidFill>
                <a:miter lim="800000"/>
                <a:headEnd/>
                <a:tailEnd/>
              </a:ln>
            </xdr:spPr>
          </xdr:sp>
          <xdr:sp macro="" textlink="">
            <xdr:nvSpPr>
              <xdr:cNvPr id="373" name="AutoShape 465">
                <a:extLst>
                  <a:ext uri="{FF2B5EF4-FFF2-40B4-BE49-F238E27FC236}">
                    <a16:creationId xmlns:a16="http://schemas.microsoft.com/office/drawing/2014/main" id="{00000000-0008-0000-0000-000075010000}"/>
                  </a:ext>
                </a:extLst>
              </xdr:cNvPr>
              <xdr:cNvSpPr>
                <a:spLocks noChangeArrowheads="1"/>
              </xdr:cNvSpPr>
            </xdr:nvSpPr>
            <xdr:spPr bwMode="auto">
              <a:xfrm>
                <a:off x="385" y="366"/>
                <a:ext cx="3" cy="14"/>
              </a:xfrm>
              <a:prstGeom prst="flowChartTerminator">
                <a:avLst/>
              </a:prstGeom>
              <a:solidFill>
                <a:srgbClr val="FF0000"/>
              </a:solidFill>
              <a:ln w="9525">
                <a:solidFill>
                  <a:srgbClr val="000000"/>
                </a:solidFill>
                <a:miter lim="800000"/>
                <a:headEnd/>
                <a:tailEnd/>
              </a:ln>
            </xdr:spPr>
          </xdr:sp>
          <xdr:sp macro="" textlink="">
            <xdr:nvSpPr>
              <xdr:cNvPr id="374" name="AutoShape 466">
                <a:extLst>
                  <a:ext uri="{FF2B5EF4-FFF2-40B4-BE49-F238E27FC236}">
                    <a16:creationId xmlns:a16="http://schemas.microsoft.com/office/drawing/2014/main" id="{00000000-0008-0000-0000-000076010000}"/>
                  </a:ext>
                </a:extLst>
              </xdr:cNvPr>
              <xdr:cNvSpPr>
                <a:spLocks noChangeArrowheads="1"/>
              </xdr:cNvSpPr>
            </xdr:nvSpPr>
            <xdr:spPr bwMode="auto">
              <a:xfrm>
                <a:off x="391" y="366"/>
                <a:ext cx="3" cy="14"/>
              </a:xfrm>
              <a:prstGeom prst="flowChartTerminator">
                <a:avLst/>
              </a:prstGeom>
              <a:solidFill>
                <a:srgbClr val="FF0000"/>
              </a:solidFill>
              <a:ln w="9525">
                <a:solidFill>
                  <a:srgbClr val="000000"/>
                </a:solidFill>
                <a:miter lim="800000"/>
                <a:headEnd/>
                <a:tailEnd/>
              </a:ln>
            </xdr:spPr>
          </xdr:sp>
          <xdr:sp macro="" textlink="">
            <xdr:nvSpPr>
              <xdr:cNvPr id="375" name="AutoShape 467">
                <a:extLst>
                  <a:ext uri="{FF2B5EF4-FFF2-40B4-BE49-F238E27FC236}">
                    <a16:creationId xmlns:a16="http://schemas.microsoft.com/office/drawing/2014/main" id="{00000000-0008-0000-0000-000077010000}"/>
                  </a:ext>
                </a:extLst>
              </xdr:cNvPr>
              <xdr:cNvSpPr>
                <a:spLocks noChangeArrowheads="1"/>
              </xdr:cNvSpPr>
            </xdr:nvSpPr>
            <xdr:spPr bwMode="auto">
              <a:xfrm>
                <a:off x="397" y="366"/>
                <a:ext cx="3" cy="14"/>
              </a:xfrm>
              <a:prstGeom prst="flowChartTerminator">
                <a:avLst/>
              </a:prstGeom>
              <a:solidFill>
                <a:srgbClr val="FF0000"/>
              </a:solidFill>
              <a:ln w="9525">
                <a:solidFill>
                  <a:srgbClr val="000000"/>
                </a:solidFill>
                <a:miter lim="800000"/>
                <a:headEnd/>
                <a:tailEnd/>
              </a:ln>
            </xdr:spPr>
          </xdr:sp>
          <xdr:sp macro="" textlink="">
            <xdr:nvSpPr>
              <xdr:cNvPr id="376" name="AutoShape 468">
                <a:extLst>
                  <a:ext uri="{FF2B5EF4-FFF2-40B4-BE49-F238E27FC236}">
                    <a16:creationId xmlns:a16="http://schemas.microsoft.com/office/drawing/2014/main" id="{00000000-0008-0000-0000-000078010000}"/>
                  </a:ext>
                </a:extLst>
              </xdr:cNvPr>
              <xdr:cNvSpPr>
                <a:spLocks noChangeArrowheads="1"/>
              </xdr:cNvSpPr>
            </xdr:nvSpPr>
            <xdr:spPr bwMode="auto">
              <a:xfrm>
                <a:off x="403" y="366"/>
                <a:ext cx="3" cy="14"/>
              </a:xfrm>
              <a:prstGeom prst="flowChartTerminator">
                <a:avLst/>
              </a:prstGeom>
              <a:solidFill>
                <a:srgbClr val="FF0000"/>
              </a:solidFill>
              <a:ln w="9525">
                <a:solidFill>
                  <a:srgbClr val="000000"/>
                </a:solidFill>
                <a:miter lim="800000"/>
                <a:headEnd/>
                <a:tailEnd/>
              </a:ln>
            </xdr:spPr>
          </xdr:sp>
          <xdr:sp macro="" textlink="">
            <xdr:nvSpPr>
              <xdr:cNvPr id="377" name="AutoShape 469">
                <a:extLst>
                  <a:ext uri="{FF2B5EF4-FFF2-40B4-BE49-F238E27FC236}">
                    <a16:creationId xmlns:a16="http://schemas.microsoft.com/office/drawing/2014/main" id="{00000000-0008-0000-0000-000079010000}"/>
                  </a:ext>
                </a:extLst>
              </xdr:cNvPr>
              <xdr:cNvSpPr>
                <a:spLocks noChangeArrowheads="1"/>
              </xdr:cNvSpPr>
            </xdr:nvSpPr>
            <xdr:spPr bwMode="auto">
              <a:xfrm>
                <a:off x="409" y="366"/>
                <a:ext cx="3" cy="14"/>
              </a:xfrm>
              <a:prstGeom prst="flowChartTerminator">
                <a:avLst/>
              </a:prstGeom>
              <a:solidFill>
                <a:srgbClr val="FF0000"/>
              </a:solidFill>
              <a:ln w="9525">
                <a:solidFill>
                  <a:srgbClr val="000000"/>
                </a:solidFill>
                <a:miter lim="800000"/>
                <a:headEnd/>
                <a:tailEnd/>
              </a:ln>
            </xdr:spPr>
          </xdr:sp>
        </xdr:grpSp>
        <xdr:grpSp>
          <xdr:nvGrpSpPr>
            <xdr:cNvPr id="349" name="Group 470">
              <a:extLst>
                <a:ext uri="{FF2B5EF4-FFF2-40B4-BE49-F238E27FC236}">
                  <a16:creationId xmlns:a16="http://schemas.microsoft.com/office/drawing/2014/main" id="{00000000-0008-0000-0000-00005D010000}"/>
                </a:ext>
              </a:extLst>
            </xdr:cNvPr>
            <xdr:cNvGrpSpPr>
              <a:grpSpLocks/>
            </xdr:cNvGrpSpPr>
          </xdr:nvGrpSpPr>
          <xdr:grpSpPr bwMode="auto">
            <a:xfrm>
              <a:off x="39" y="924"/>
              <a:ext cx="34" cy="3"/>
              <a:chOff x="361" y="366"/>
              <a:chExt cx="51" cy="14"/>
            </a:xfrm>
          </xdr:grpSpPr>
          <xdr:sp macro="" textlink="">
            <xdr:nvSpPr>
              <xdr:cNvPr id="360" name="AutoShape 471">
                <a:extLst>
                  <a:ext uri="{FF2B5EF4-FFF2-40B4-BE49-F238E27FC236}">
                    <a16:creationId xmlns:a16="http://schemas.microsoft.com/office/drawing/2014/main" id="{00000000-0008-0000-0000-000068010000}"/>
                  </a:ext>
                </a:extLst>
              </xdr:cNvPr>
              <xdr:cNvSpPr>
                <a:spLocks noChangeArrowheads="1"/>
              </xdr:cNvSpPr>
            </xdr:nvSpPr>
            <xdr:spPr bwMode="auto">
              <a:xfrm>
                <a:off x="361" y="366"/>
                <a:ext cx="3" cy="14"/>
              </a:xfrm>
              <a:prstGeom prst="flowChartTerminator">
                <a:avLst/>
              </a:prstGeom>
              <a:solidFill>
                <a:srgbClr val="FF0000"/>
              </a:solidFill>
              <a:ln w="9525">
                <a:solidFill>
                  <a:srgbClr val="000000"/>
                </a:solidFill>
                <a:miter lim="800000"/>
                <a:headEnd/>
                <a:tailEnd/>
              </a:ln>
            </xdr:spPr>
          </xdr:sp>
          <xdr:sp macro="" textlink="">
            <xdr:nvSpPr>
              <xdr:cNvPr id="361" name="AutoShape 472">
                <a:extLst>
                  <a:ext uri="{FF2B5EF4-FFF2-40B4-BE49-F238E27FC236}">
                    <a16:creationId xmlns:a16="http://schemas.microsoft.com/office/drawing/2014/main" id="{00000000-0008-0000-0000-000069010000}"/>
                  </a:ext>
                </a:extLst>
              </xdr:cNvPr>
              <xdr:cNvSpPr>
                <a:spLocks noChangeArrowheads="1"/>
              </xdr:cNvSpPr>
            </xdr:nvSpPr>
            <xdr:spPr bwMode="auto">
              <a:xfrm>
                <a:off x="367" y="366"/>
                <a:ext cx="3" cy="14"/>
              </a:xfrm>
              <a:prstGeom prst="flowChartTerminator">
                <a:avLst/>
              </a:prstGeom>
              <a:solidFill>
                <a:srgbClr val="FF0000"/>
              </a:solidFill>
              <a:ln w="9525">
                <a:solidFill>
                  <a:srgbClr val="000000"/>
                </a:solidFill>
                <a:miter lim="800000"/>
                <a:headEnd/>
                <a:tailEnd/>
              </a:ln>
            </xdr:spPr>
          </xdr:sp>
          <xdr:sp macro="" textlink="">
            <xdr:nvSpPr>
              <xdr:cNvPr id="362" name="AutoShape 473">
                <a:extLst>
                  <a:ext uri="{FF2B5EF4-FFF2-40B4-BE49-F238E27FC236}">
                    <a16:creationId xmlns:a16="http://schemas.microsoft.com/office/drawing/2014/main" id="{00000000-0008-0000-0000-00006A010000}"/>
                  </a:ext>
                </a:extLst>
              </xdr:cNvPr>
              <xdr:cNvSpPr>
                <a:spLocks noChangeArrowheads="1"/>
              </xdr:cNvSpPr>
            </xdr:nvSpPr>
            <xdr:spPr bwMode="auto">
              <a:xfrm>
                <a:off x="373" y="366"/>
                <a:ext cx="3" cy="14"/>
              </a:xfrm>
              <a:prstGeom prst="flowChartTerminator">
                <a:avLst/>
              </a:prstGeom>
              <a:solidFill>
                <a:srgbClr val="FF0000"/>
              </a:solidFill>
              <a:ln w="9525">
                <a:solidFill>
                  <a:srgbClr val="000000"/>
                </a:solidFill>
                <a:miter lim="800000"/>
                <a:headEnd/>
                <a:tailEnd/>
              </a:ln>
            </xdr:spPr>
          </xdr:sp>
          <xdr:sp macro="" textlink="">
            <xdr:nvSpPr>
              <xdr:cNvPr id="363" name="AutoShape 474">
                <a:extLst>
                  <a:ext uri="{FF2B5EF4-FFF2-40B4-BE49-F238E27FC236}">
                    <a16:creationId xmlns:a16="http://schemas.microsoft.com/office/drawing/2014/main" id="{00000000-0008-0000-0000-00006B010000}"/>
                  </a:ext>
                </a:extLst>
              </xdr:cNvPr>
              <xdr:cNvSpPr>
                <a:spLocks noChangeArrowheads="1"/>
              </xdr:cNvSpPr>
            </xdr:nvSpPr>
            <xdr:spPr bwMode="auto">
              <a:xfrm>
                <a:off x="379" y="366"/>
                <a:ext cx="3" cy="14"/>
              </a:xfrm>
              <a:prstGeom prst="flowChartTerminator">
                <a:avLst/>
              </a:prstGeom>
              <a:solidFill>
                <a:srgbClr val="FF0000"/>
              </a:solidFill>
              <a:ln w="9525">
                <a:solidFill>
                  <a:srgbClr val="000000"/>
                </a:solidFill>
                <a:miter lim="800000"/>
                <a:headEnd/>
                <a:tailEnd/>
              </a:ln>
            </xdr:spPr>
          </xdr:sp>
          <xdr:sp macro="" textlink="">
            <xdr:nvSpPr>
              <xdr:cNvPr id="364" name="AutoShape 475">
                <a:extLst>
                  <a:ext uri="{FF2B5EF4-FFF2-40B4-BE49-F238E27FC236}">
                    <a16:creationId xmlns:a16="http://schemas.microsoft.com/office/drawing/2014/main" id="{00000000-0008-0000-0000-00006C010000}"/>
                  </a:ext>
                </a:extLst>
              </xdr:cNvPr>
              <xdr:cNvSpPr>
                <a:spLocks noChangeArrowheads="1"/>
              </xdr:cNvSpPr>
            </xdr:nvSpPr>
            <xdr:spPr bwMode="auto">
              <a:xfrm>
                <a:off x="385" y="366"/>
                <a:ext cx="3" cy="14"/>
              </a:xfrm>
              <a:prstGeom prst="flowChartTerminator">
                <a:avLst/>
              </a:prstGeom>
              <a:solidFill>
                <a:srgbClr val="FF0000"/>
              </a:solidFill>
              <a:ln w="9525">
                <a:solidFill>
                  <a:srgbClr val="000000"/>
                </a:solidFill>
                <a:miter lim="800000"/>
                <a:headEnd/>
                <a:tailEnd/>
              </a:ln>
            </xdr:spPr>
          </xdr:sp>
          <xdr:sp macro="" textlink="">
            <xdr:nvSpPr>
              <xdr:cNvPr id="365" name="AutoShape 476">
                <a:extLst>
                  <a:ext uri="{FF2B5EF4-FFF2-40B4-BE49-F238E27FC236}">
                    <a16:creationId xmlns:a16="http://schemas.microsoft.com/office/drawing/2014/main" id="{00000000-0008-0000-0000-00006D010000}"/>
                  </a:ext>
                </a:extLst>
              </xdr:cNvPr>
              <xdr:cNvSpPr>
                <a:spLocks noChangeArrowheads="1"/>
              </xdr:cNvSpPr>
            </xdr:nvSpPr>
            <xdr:spPr bwMode="auto">
              <a:xfrm>
                <a:off x="391" y="366"/>
                <a:ext cx="3" cy="14"/>
              </a:xfrm>
              <a:prstGeom prst="flowChartTerminator">
                <a:avLst/>
              </a:prstGeom>
              <a:solidFill>
                <a:srgbClr val="FF0000"/>
              </a:solidFill>
              <a:ln w="9525">
                <a:solidFill>
                  <a:srgbClr val="000000"/>
                </a:solidFill>
                <a:miter lim="800000"/>
                <a:headEnd/>
                <a:tailEnd/>
              </a:ln>
            </xdr:spPr>
          </xdr:sp>
          <xdr:sp macro="" textlink="">
            <xdr:nvSpPr>
              <xdr:cNvPr id="366" name="AutoShape 477">
                <a:extLst>
                  <a:ext uri="{FF2B5EF4-FFF2-40B4-BE49-F238E27FC236}">
                    <a16:creationId xmlns:a16="http://schemas.microsoft.com/office/drawing/2014/main" id="{00000000-0008-0000-0000-00006E010000}"/>
                  </a:ext>
                </a:extLst>
              </xdr:cNvPr>
              <xdr:cNvSpPr>
                <a:spLocks noChangeArrowheads="1"/>
              </xdr:cNvSpPr>
            </xdr:nvSpPr>
            <xdr:spPr bwMode="auto">
              <a:xfrm>
                <a:off x="397" y="366"/>
                <a:ext cx="3" cy="14"/>
              </a:xfrm>
              <a:prstGeom prst="flowChartTerminator">
                <a:avLst/>
              </a:prstGeom>
              <a:solidFill>
                <a:srgbClr val="FF0000"/>
              </a:solidFill>
              <a:ln w="9525">
                <a:solidFill>
                  <a:srgbClr val="000000"/>
                </a:solidFill>
                <a:miter lim="800000"/>
                <a:headEnd/>
                <a:tailEnd/>
              </a:ln>
            </xdr:spPr>
          </xdr:sp>
          <xdr:sp macro="" textlink="">
            <xdr:nvSpPr>
              <xdr:cNvPr id="367" name="AutoShape 478">
                <a:extLst>
                  <a:ext uri="{FF2B5EF4-FFF2-40B4-BE49-F238E27FC236}">
                    <a16:creationId xmlns:a16="http://schemas.microsoft.com/office/drawing/2014/main" id="{00000000-0008-0000-0000-00006F010000}"/>
                  </a:ext>
                </a:extLst>
              </xdr:cNvPr>
              <xdr:cNvSpPr>
                <a:spLocks noChangeArrowheads="1"/>
              </xdr:cNvSpPr>
            </xdr:nvSpPr>
            <xdr:spPr bwMode="auto">
              <a:xfrm>
                <a:off x="403" y="366"/>
                <a:ext cx="3" cy="14"/>
              </a:xfrm>
              <a:prstGeom prst="flowChartTerminator">
                <a:avLst/>
              </a:prstGeom>
              <a:solidFill>
                <a:srgbClr val="FF0000"/>
              </a:solidFill>
              <a:ln w="9525">
                <a:solidFill>
                  <a:srgbClr val="000000"/>
                </a:solidFill>
                <a:miter lim="800000"/>
                <a:headEnd/>
                <a:tailEnd/>
              </a:ln>
            </xdr:spPr>
          </xdr:sp>
          <xdr:sp macro="" textlink="">
            <xdr:nvSpPr>
              <xdr:cNvPr id="368" name="AutoShape 479">
                <a:extLst>
                  <a:ext uri="{FF2B5EF4-FFF2-40B4-BE49-F238E27FC236}">
                    <a16:creationId xmlns:a16="http://schemas.microsoft.com/office/drawing/2014/main" id="{00000000-0008-0000-0000-000070010000}"/>
                  </a:ext>
                </a:extLst>
              </xdr:cNvPr>
              <xdr:cNvSpPr>
                <a:spLocks noChangeArrowheads="1"/>
              </xdr:cNvSpPr>
            </xdr:nvSpPr>
            <xdr:spPr bwMode="auto">
              <a:xfrm>
                <a:off x="409" y="366"/>
                <a:ext cx="3" cy="14"/>
              </a:xfrm>
              <a:prstGeom prst="flowChartTerminator">
                <a:avLst/>
              </a:prstGeom>
              <a:solidFill>
                <a:srgbClr val="FF0000"/>
              </a:solidFill>
              <a:ln w="9525">
                <a:solidFill>
                  <a:srgbClr val="000000"/>
                </a:solidFill>
                <a:miter lim="800000"/>
                <a:headEnd/>
                <a:tailEnd/>
              </a:ln>
            </xdr:spPr>
          </xdr:sp>
        </xdr:grpSp>
        <xdr:grpSp>
          <xdr:nvGrpSpPr>
            <xdr:cNvPr id="350" name="Group 480">
              <a:extLst>
                <a:ext uri="{FF2B5EF4-FFF2-40B4-BE49-F238E27FC236}">
                  <a16:creationId xmlns:a16="http://schemas.microsoft.com/office/drawing/2014/main" id="{00000000-0008-0000-0000-00005E010000}"/>
                </a:ext>
              </a:extLst>
            </xdr:cNvPr>
            <xdr:cNvGrpSpPr>
              <a:grpSpLocks/>
            </xdr:cNvGrpSpPr>
          </xdr:nvGrpSpPr>
          <xdr:grpSpPr bwMode="auto">
            <a:xfrm>
              <a:off x="39" y="928"/>
              <a:ext cx="34" cy="3"/>
              <a:chOff x="361" y="366"/>
              <a:chExt cx="51" cy="14"/>
            </a:xfrm>
          </xdr:grpSpPr>
          <xdr:sp macro="" textlink="">
            <xdr:nvSpPr>
              <xdr:cNvPr id="351" name="AutoShape 481">
                <a:extLst>
                  <a:ext uri="{FF2B5EF4-FFF2-40B4-BE49-F238E27FC236}">
                    <a16:creationId xmlns:a16="http://schemas.microsoft.com/office/drawing/2014/main" id="{00000000-0008-0000-0000-00005F010000}"/>
                  </a:ext>
                </a:extLst>
              </xdr:cNvPr>
              <xdr:cNvSpPr>
                <a:spLocks noChangeArrowheads="1"/>
              </xdr:cNvSpPr>
            </xdr:nvSpPr>
            <xdr:spPr bwMode="auto">
              <a:xfrm>
                <a:off x="361" y="366"/>
                <a:ext cx="3" cy="14"/>
              </a:xfrm>
              <a:prstGeom prst="flowChartTerminator">
                <a:avLst/>
              </a:prstGeom>
              <a:solidFill>
                <a:srgbClr val="FF0000"/>
              </a:solidFill>
              <a:ln w="9525">
                <a:solidFill>
                  <a:srgbClr val="000000"/>
                </a:solidFill>
                <a:miter lim="800000"/>
                <a:headEnd/>
                <a:tailEnd/>
              </a:ln>
            </xdr:spPr>
          </xdr:sp>
          <xdr:sp macro="" textlink="">
            <xdr:nvSpPr>
              <xdr:cNvPr id="352" name="AutoShape 482">
                <a:extLst>
                  <a:ext uri="{FF2B5EF4-FFF2-40B4-BE49-F238E27FC236}">
                    <a16:creationId xmlns:a16="http://schemas.microsoft.com/office/drawing/2014/main" id="{00000000-0008-0000-0000-000060010000}"/>
                  </a:ext>
                </a:extLst>
              </xdr:cNvPr>
              <xdr:cNvSpPr>
                <a:spLocks noChangeArrowheads="1"/>
              </xdr:cNvSpPr>
            </xdr:nvSpPr>
            <xdr:spPr bwMode="auto">
              <a:xfrm>
                <a:off x="367" y="366"/>
                <a:ext cx="3" cy="14"/>
              </a:xfrm>
              <a:prstGeom prst="flowChartTerminator">
                <a:avLst/>
              </a:prstGeom>
              <a:solidFill>
                <a:srgbClr val="FF0000"/>
              </a:solidFill>
              <a:ln w="9525">
                <a:solidFill>
                  <a:srgbClr val="000000"/>
                </a:solidFill>
                <a:miter lim="800000"/>
                <a:headEnd/>
                <a:tailEnd/>
              </a:ln>
            </xdr:spPr>
          </xdr:sp>
          <xdr:sp macro="" textlink="">
            <xdr:nvSpPr>
              <xdr:cNvPr id="353" name="AutoShape 483">
                <a:extLst>
                  <a:ext uri="{FF2B5EF4-FFF2-40B4-BE49-F238E27FC236}">
                    <a16:creationId xmlns:a16="http://schemas.microsoft.com/office/drawing/2014/main" id="{00000000-0008-0000-0000-000061010000}"/>
                  </a:ext>
                </a:extLst>
              </xdr:cNvPr>
              <xdr:cNvSpPr>
                <a:spLocks noChangeArrowheads="1"/>
              </xdr:cNvSpPr>
            </xdr:nvSpPr>
            <xdr:spPr bwMode="auto">
              <a:xfrm>
                <a:off x="373" y="366"/>
                <a:ext cx="3" cy="14"/>
              </a:xfrm>
              <a:prstGeom prst="flowChartTerminator">
                <a:avLst/>
              </a:prstGeom>
              <a:solidFill>
                <a:srgbClr val="FF0000"/>
              </a:solidFill>
              <a:ln w="9525">
                <a:solidFill>
                  <a:srgbClr val="000000"/>
                </a:solidFill>
                <a:miter lim="800000"/>
                <a:headEnd/>
                <a:tailEnd/>
              </a:ln>
            </xdr:spPr>
          </xdr:sp>
          <xdr:sp macro="" textlink="">
            <xdr:nvSpPr>
              <xdr:cNvPr id="354" name="AutoShape 484">
                <a:extLst>
                  <a:ext uri="{FF2B5EF4-FFF2-40B4-BE49-F238E27FC236}">
                    <a16:creationId xmlns:a16="http://schemas.microsoft.com/office/drawing/2014/main" id="{00000000-0008-0000-0000-000062010000}"/>
                  </a:ext>
                </a:extLst>
              </xdr:cNvPr>
              <xdr:cNvSpPr>
                <a:spLocks noChangeArrowheads="1"/>
              </xdr:cNvSpPr>
            </xdr:nvSpPr>
            <xdr:spPr bwMode="auto">
              <a:xfrm>
                <a:off x="379" y="366"/>
                <a:ext cx="3" cy="14"/>
              </a:xfrm>
              <a:prstGeom prst="flowChartTerminator">
                <a:avLst/>
              </a:prstGeom>
              <a:solidFill>
                <a:srgbClr val="FF0000"/>
              </a:solidFill>
              <a:ln w="9525">
                <a:solidFill>
                  <a:srgbClr val="000000"/>
                </a:solidFill>
                <a:miter lim="800000"/>
                <a:headEnd/>
                <a:tailEnd/>
              </a:ln>
            </xdr:spPr>
          </xdr:sp>
          <xdr:sp macro="" textlink="">
            <xdr:nvSpPr>
              <xdr:cNvPr id="355" name="AutoShape 485">
                <a:extLst>
                  <a:ext uri="{FF2B5EF4-FFF2-40B4-BE49-F238E27FC236}">
                    <a16:creationId xmlns:a16="http://schemas.microsoft.com/office/drawing/2014/main" id="{00000000-0008-0000-0000-000063010000}"/>
                  </a:ext>
                </a:extLst>
              </xdr:cNvPr>
              <xdr:cNvSpPr>
                <a:spLocks noChangeArrowheads="1"/>
              </xdr:cNvSpPr>
            </xdr:nvSpPr>
            <xdr:spPr bwMode="auto">
              <a:xfrm>
                <a:off x="385" y="366"/>
                <a:ext cx="3" cy="14"/>
              </a:xfrm>
              <a:prstGeom prst="flowChartTerminator">
                <a:avLst/>
              </a:prstGeom>
              <a:solidFill>
                <a:srgbClr val="FF0000"/>
              </a:solidFill>
              <a:ln w="9525">
                <a:solidFill>
                  <a:srgbClr val="000000"/>
                </a:solidFill>
                <a:miter lim="800000"/>
                <a:headEnd/>
                <a:tailEnd/>
              </a:ln>
            </xdr:spPr>
          </xdr:sp>
          <xdr:sp macro="" textlink="">
            <xdr:nvSpPr>
              <xdr:cNvPr id="356" name="AutoShape 486">
                <a:extLst>
                  <a:ext uri="{FF2B5EF4-FFF2-40B4-BE49-F238E27FC236}">
                    <a16:creationId xmlns:a16="http://schemas.microsoft.com/office/drawing/2014/main" id="{00000000-0008-0000-0000-000064010000}"/>
                  </a:ext>
                </a:extLst>
              </xdr:cNvPr>
              <xdr:cNvSpPr>
                <a:spLocks noChangeArrowheads="1"/>
              </xdr:cNvSpPr>
            </xdr:nvSpPr>
            <xdr:spPr bwMode="auto">
              <a:xfrm>
                <a:off x="391" y="366"/>
                <a:ext cx="3" cy="14"/>
              </a:xfrm>
              <a:prstGeom prst="flowChartTerminator">
                <a:avLst/>
              </a:prstGeom>
              <a:solidFill>
                <a:srgbClr val="FF0000"/>
              </a:solidFill>
              <a:ln w="9525">
                <a:solidFill>
                  <a:srgbClr val="000000"/>
                </a:solidFill>
                <a:miter lim="800000"/>
                <a:headEnd/>
                <a:tailEnd/>
              </a:ln>
            </xdr:spPr>
          </xdr:sp>
          <xdr:sp macro="" textlink="">
            <xdr:nvSpPr>
              <xdr:cNvPr id="357" name="AutoShape 487">
                <a:extLst>
                  <a:ext uri="{FF2B5EF4-FFF2-40B4-BE49-F238E27FC236}">
                    <a16:creationId xmlns:a16="http://schemas.microsoft.com/office/drawing/2014/main" id="{00000000-0008-0000-0000-000065010000}"/>
                  </a:ext>
                </a:extLst>
              </xdr:cNvPr>
              <xdr:cNvSpPr>
                <a:spLocks noChangeArrowheads="1"/>
              </xdr:cNvSpPr>
            </xdr:nvSpPr>
            <xdr:spPr bwMode="auto">
              <a:xfrm>
                <a:off x="397" y="366"/>
                <a:ext cx="3" cy="14"/>
              </a:xfrm>
              <a:prstGeom prst="flowChartTerminator">
                <a:avLst/>
              </a:prstGeom>
              <a:solidFill>
                <a:srgbClr val="FF0000"/>
              </a:solidFill>
              <a:ln w="9525">
                <a:solidFill>
                  <a:srgbClr val="000000"/>
                </a:solidFill>
                <a:miter lim="800000"/>
                <a:headEnd/>
                <a:tailEnd/>
              </a:ln>
            </xdr:spPr>
          </xdr:sp>
          <xdr:sp macro="" textlink="">
            <xdr:nvSpPr>
              <xdr:cNvPr id="358" name="AutoShape 488">
                <a:extLst>
                  <a:ext uri="{FF2B5EF4-FFF2-40B4-BE49-F238E27FC236}">
                    <a16:creationId xmlns:a16="http://schemas.microsoft.com/office/drawing/2014/main" id="{00000000-0008-0000-0000-000066010000}"/>
                  </a:ext>
                </a:extLst>
              </xdr:cNvPr>
              <xdr:cNvSpPr>
                <a:spLocks noChangeArrowheads="1"/>
              </xdr:cNvSpPr>
            </xdr:nvSpPr>
            <xdr:spPr bwMode="auto">
              <a:xfrm>
                <a:off x="403" y="366"/>
                <a:ext cx="3" cy="14"/>
              </a:xfrm>
              <a:prstGeom prst="flowChartTerminator">
                <a:avLst/>
              </a:prstGeom>
              <a:solidFill>
                <a:srgbClr val="FF0000"/>
              </a:solidFill>
              <a:ln w="9525">
                <a:solidFill>
                  <a:srgbClr val="000000"/>
                </a:solidFill>
                <a:miter lim="800000"/>
                <a:headEnd/>
                <a:tailEnd/>
              </a:ln>
            </xdr:spPr>
          </xdr:sp>
          <xdr:sp macro="" textlink="">
            <xdr:nvSpPr>
              <xdr:cNvPr id="359" name="AutoShape 489">
                <a:extLst>
                  <a:ext uri="{FF2B5EF4-FFF2-40B4-BE49-F238E27FC236}">
                    <a16:creationId xmlns:a16="http://schemas.microsoft.com/office/drawing/2014/main" id="{00000000-0008-0000-0000-000067010000}"/>
                  </a:ext>
                </a:extLst>
              </xdr:cNvPr>
              <xdr:cNvSpPr>
                <a:spLocks noChangeArrowheads="1"/>
              </xdr:cNvSpPr>
            </xdr:nvSpPr>
            <xdr:spPr bwMode="auto">
              <a:xfrm>
                <a:off x="409" y="366"/>
                <a:ext cx="3" cy="14"/>
              </a:xfrm>
              <a:prstGeom prst="flowChartTerminator">
                <a:avLst/>
              </a:prstGeom>
              <a:solidFill>
                <a:srgbClr val="FF0000"/>
              </a:solidFill>
              <a:ln w="9525">
                <a:solidFill>
                  <a:srgbClr val="000000"/>
                </a:solidFill>
                <a:miter lim="800000"/>
                <a:headEnd/>
                <a:tailEnd/>
              </a:ln>
            </xdr:spPr>
          </xdr:sp>
        </xdr:grpSp>
      </xdr:grpSp>
      <xdr:sp macro="" textlink="">
        <xdr:nvSpPr>
          <xdr:cNvPr id="330" name="Rectangle 490">
            <a:extLst>
              <a:ext uri="{FF2B5EF4-FFF2-40B4-BE49-F238E27FC236}">
                <a16:creationId xmlns:a16="http://schemas.microsoft.com/office/drawing/2014/main" id="{00000000-0008-0000-0000-00004A010000}"/>
              </a:ext>
            </a:extLst>
          </xdr:cNvPr>
          <xdr:cNvSpPr>
            <a:spLocks noChangeArrowheads="1"/>
          </xdr:cNvSpPr>
        </xdr:nvSpPr>
        <xdr:spPr bwMode="auto">
          <a:xfrm>
            <a:off x="41" y="964"/>
            <a:ext cx="4" cy="2"/>
          </a:xfrm>
          <a:prstGeom prst="rect">
            <a:avLst/>
          </a:prstGeom>
          <a:solidFill>
            <a:srgbClr val="FF0000"/>
          </a:solidFill>
          <a:ln w="9525">
            <a:solidFill>
              <a:srgbClr val="000000"/>
            </a:solidFill>
            <a:miter lim="800000"/>
            <a:headEnd/>
            <a:tailEnd/>
          </a:ln>
        </xdr:spPr>
      </xdr:sp>
      <xdr:sp macro="" textlink="">
        <xdr:nvSpPr>
          <xdr:cNvPr id="331" name="Rectangle 491">
            <a:extLst>
              <a:ext uri="{FF2B5EF4-FFF2-40B4-BE49-F238E27FC236}">
                <a16:creationId xmlns:a16="http://schemas.microsoft.com/office/drawing/2014/main" id="{00000000-0008-0000-0000-00004B010000}"/>
              </a:ext>
            </a:extLst>
          </xdr:cNvPr>
          <xdr:cNvSpPr>
            <a:spLocks noChangeArrowheads="1"/>
          </xdr:cNvSpPr>
        </xdr:nvSpPr>
        <xdr:spPr bwMode="auto">
          <a:xfrm>
            <a:off x="57" y="965"/>
            <a:ext cx="5" cy="1"/>
          </a:xfrm>
          <a:prstGeom prst="rect">
            <a:avLst/>
          </a:prstGeom>
          <a:solidFill>
            <a:srgbClr val="FF0000"/>
          </a:solidFill>
          <a:ln w="9525">
            <a:solidFill>
              <a:srgbClr val="000000"/>
            </a:solidFill>
            <a:miter lim="800000"/>
            <a:headEnd/>
            <a:tailEnd/>
          </a:ln>
        </xdr:spPr>
      </xdr:sp>
      <xdr:sp macro="" textlink="">
        <xdr:nvSpPr>
          <xdr:cNvPr id="332" name="Rectangle 492">
            <a:extLst>
              <a:ext uri="{FF2B5EF4-FFF2-40B4-BE49-F238E27FC236}">
                <a16:creationId xmlns:a16="http://schemas.microsoft.com/office/drawing/2014/main" id="{00000000-0008-0000-0000-00004C010000}"/>
              </a:ext>
            </a:extLst>
          </xdr:cNvPr>
          <xdr:cNvSpPr>
            <a:spLocks noChangeArrowheads="1"/>
          </xdr:cNvSpPr>
        </xdr:nvSpPr>
        <xdr:spPr bwMode="auto">
          <a:xfrm>
            <a:off x="49" y="965"/>
            <a:ext cx="4" cy="1"/>
          </a:xfrm>
          <a:prstGeom prst="rect">
            <a:avLst/>
          </a:prstGeom>
          <a:solidFill>
            <a:srgbClr val="FF0000"/>
          </a:solidFill>
          <a:ln w="9525">
            <a:solidFill>
              <a:srgbClr val="000000"/>
            </a:solidFill>
            <a:miter lim="800000"/>
            <a:headEnd/>
            <a:tailEnd/>
          </a:ln>
        </xdr:spPr>
      </xdr:sp>
      <xdr:sp macro="" textlink="">
        <xdr:nvSpPr>
          <xdr:cNvPr id="333" name="Rectangle 493">
            <a:extLst>
              <a:ext uri="{FF2B5EF4-FFF2-40B4-BE49-F238E27FC236}">
                <a16:creationId xmlns:a16="http://schemas.microsoft.com/office/drawing/2014/main" id="{00000000-0008-0000-0000-00004D010000}"/>
              </a:ext>
            </a:extLst>
          </xdr:cNvPr>
          <xdr:cNvSpPr>
            <a:spLocks noChangeArrowheads="1"/>
          </xdr:cNvSpPr>
        </xdr:nvSpPr>
        <xdr:spPr bwMode="auto">
          <a:xfrm>
            <a:off x="38" y="977"/>
            <a:ext cx="36" cy="4"/>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34" name="Rectangle 494">
            <a:extLst>
              <a:ext uri="{FF2B5EF4-FFF2-40B4-BE49-F238E27FC236}">
                <a16:creationId xmlns:a16="http://schemas.microsoft.com/office/drawing/2014/main" id="{00000000-0008-0000-0000-00004E010000}"/>
              </a:ext>
            </a:extLst>
          </xdr:cNvPr>
          <xdr:cNvSpPr>
            <a:spLocks noChangeArrowheads="1"/>
          </xdr:cNvSpPr>
        </xdr:nvSpPr>
        <xdr:spPr bwMode="auto">
          <a:xfrm>
            <a:off x="38" y="1027"/>
            <a:ext cx="36" cy="3"/>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grpSp>
        <xdr:nvGrpSpPr>
          <xdr:cNvPr id="335" name="Group 495">
            <a:extLst>
              <a:ext uri="{FF2B5EF4-FFF2-40B4-BE49-F238E27FC236}">
                <a16:creationId xmlns:a16="http://schemas.microsoft.com/office/drawing/2014/main" id="{00000000-0008-0000-0000-00004F010000}"/>
              </a:ext>
            </a:extLst>
          </xdr:cNvPr>
          <xdr:cNvGrpSpPr>
            <a:grpSpLocks/>
          </xdr:cNvGrpSpPr>
        </xdr:nvGrpSpPr>
        <xdr:grpSpPr bwMode="auto">
          <a:xfrm>
            <a:off x="38" y="1132"/>
            <a:ext cx="37" cy="22"/>
            <a:chOff x="40" y="1113"/>
            <a:chExt cx="37" cy="22"/>
          </a:xfrm>
        </xdr:grpSpPr>
        <xdr:grpSp>
          <xdr:nvGrpSpPr>
            <xdr:cNvPr id="342" name="Group 496">
              <a:extLst>
                <a:ext uri="{FF2B5EF4-FFF2-40B4-BE49-F238E27FC236}">
                  <a16:creationId xmlns:a16="http://schemas.microsoft.com/office/drawing/2014/main" id="{00000000-0008-0000-0000-000056010000}"/>
                </a:ext>
              </a:extLst>
            </xdr:cNvPr>
            <xdr:cNvGrpSpPr>
              <a:grpSpLocks/>
            </xdr:cNvGrpSpPr>
          </xdr:nvGrpSpPr>
          <xdr:grpSpPr bwMode="auto">
            <a:xfrm>
              <a:off x="40" y="1113"/>
              <a:ext cx="37" cy="22"/>
              <a:chOff x="196" y="85"/>
              <a:chExt cx="38" cy="120"/>
            </a:xfrm>
          </xdr:grpSpPr>
          <xdr:sp macro="" textlink="">
            <xdr:nvSpPr>
              <xdr:cNvPr id="344" name="Rectangle 497">
                <a:extLst>
                  <a:ext uri="{FF2B5EF4-FFF2-40B4-BE49-F238E27FC236}">
                    <a16:creationId xmlns:a16="http://schemas.microsoft.com/office/drawing/2014/main" id="{00000000-0008-0000-0000-000058010000}"/>
                  </a:ext>
                </a:extLst>
              </xdr:cNvPr>
              <xdr:cNvSpPr>
                <a:spLocks noChangeArrowheads="1"/>
              </xdr:cNvSpPr>
            </xdr:nvSpPr>
            <xdr:spPr bwMode="auto">
              <a:xfrm>
                <a:off x="204" y="85"/>
                <a:ext cx="22" cy="120"/>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sp macro="" textlink="">
            <xdr:nvSpPr>
              <xdr:cNvPr id="345" name="AutoShape 498">
                <a:extLst>
                  <a:ext uri="{FF2B5EF4-FFF2-40B4-BE49-F238E27FC236}">
                    <a16:creationId xmlns:a16="http://schemas.microsoft.com/office/drawing/2014/main" id="{00000000-0008-0000-0000-000059010000}"/>
                  </a:ext>
                </a:extLst>
              </xdr:cNvPr>
              <xdr:cNvSpPr>
                <a:spLocks noChangeArrowheads="1"/>
              </xdr:cNvSpPr>
            </xdr:nvSpPr>
            <xdr:spPr bwMode="auto">
              <a:xfrm rot="-5413062">
                <a:off x="182" y="137"/>
                <a:ext cx="96" cy="8"/>
              </a:xfrm>
              <a:prstGeom prst="flowChartManualOperation">
                <a:avLst/>
              </a:prstGeom>
              <a:solidFill>
                <a:srgbClr val="C0C0C0"/>
              </a:solidFill>
              <a:ln w="9525">
                <a:solidFill>
                  <a:srgbClr val="000000"/>
                </a:solidFill>
                <a:miter lim="800000"/>
                <a:headEnd/>
                <a:tailEnd/>
              </a:ln>
            </xdr:spPr>
          </xdr:sp>
          <xdr:sp macro="" textlink="">
            <xdr:nvSpPr>
              <xdr:cNvPr id="346" name="AutoShape 499">
                <a:extLst>
                  <a:ext uri="{FF2B5EF4-FFF2-40B4-BE49-F238E27FC236}">
                    <a16:creationId xmlns:a16="http://schemas.microsoft.com/office/drawing/2014/main" id="{00000000-0008-0000-0000-00005A010000}"/>
                  </a:ext>
                </a:extLst>
              </xdr:cNvPr>
              <xdr:cNvSpPr>
                <a:spLocks noChangeArrowheads="1"/>
              </xdr:cNvSpPr>
            </xdr:nvSpPr>
            <xdr:spPr bwMode="auto">
              <a:xfrm rot="5386938">
                <a:off x="152" y="137"/>
                <a:ext cx="96" cy="8"/>
              </a:xfrm>
              <a:prstGeom prst="flowChartManualOperation">
                <a:avLst/>
              </a:prstGeom>
              <a:solidFill>
                <a:srgbClr val="C0C0C0"/>
              </a:solidFill>
              <a:ln w="9525">
                <a:solidFill>
                  <a:srgbClr val="000000"/>
                </a:solidFill>
                <a:miter lim="800000"/>
                <a:headEnd/>
                <a:tailEnd/>
              </a:ln>
            </xdr:spPr>
          </xdr:sp>
        </xdr:grpSp>
        <xdr:sp macro="" textlink="">
          <xdr:nvSpPr>
            <xdr:cNvPr id="343" name="Rectangle 500">
              <a:extLst>
                <a:ext uri="{FF2B5EF4-FFF2-40B4-BE49-F238E27FC236}">
                  <a16:creationId xmlns:a16="http://schemas.microsoft.com/office/drawing/2014/main" id="{00000000-0008-0000-0000-000057010000}"/>
                </a:ext>
              </a:extLst>
            </xdr:cNvPr>
            <xdr:cNvSpPr>
              <a:spLocks noChangeArrowheads="1"/>
            </xdr:cNvSpPr>
          </xdr:nvSpPr>
          <xdr:spPr bwMode="auto">
            <a:xfrm>
              <a:off x="57" y="1116"/>
              <a:ext cx="3" cy="14"/>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grpSp>
      <xdr:sp macro="" textlink="">
        <xdr:nvSpPr>
          <xdr:cNvPr id="336" name="Rectangle 501">
            <a:extLst>
              <a:ext uri="{FF2B5EF4-FFF2-40B4-BE49-F238E27FC236}">
                <a16:creationId xmlns:a16="http://schemas.microsoft.com/office/drawing/2014/main" id="{00000000-0008-0000-0000-000050010000}"/>
              </a:ext>
            </a:extLst>
          </xdr:cNvPr>
          <xdr:cNvSpPr>
            <a:spLocks noChangeArrowheads="1"/>
          </xdr:cNvSpPr>
        </xdr:nvSpPr>
        <xdr:spPr bwMode="auto">
          <a:xfrm>
            <a:off x="38" y="1056"/>
            <a:ext cx="36" cy="3"/>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37" name="Rectangle 502">
            <a:extLst>
              <a:ext uri="{FF2B5EF4-FFF2-40B4-BE49-F238E27FC236}">
                <a16:creationId xmlns:a16="http://schemas.microsoft.com/office/drawing/2014/main" id="{00000000-0008-0000-0000-000051010000}"/>
              </a:ext>
            </a:extLst>
          </xdr:cNvPr>
          <xdr:cNvSpPr>
            <a:spLocks noChangeArrowheads="1"/>
          </xdr:cNvSpPr>
        </xdr:nvSpPr>
        <xdr:spPr bwMode="auto">
          <a:xfrm>
            <a:off x="38" y="917"/>
            <a:ext cx="36" cy="3"/>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38" name="Rectangle 503">
            <a:extLst>
              <a:ext uri="{FF2B5EF4-FFF2-40B4-BE49-F238E27FC236}">
                <a16:creationId xmlns:a16="http://schemas.microsoft.com/office/drawing/2014/main" id="{00000000-0008-0000-0000-000052010000}"/>
              </a:ext>
            </a:extLst>
          </xdr:cNvPr>
          <xdr:cNvSpPr>
            <a:spLocks noChangeArrowheads="1"/>
          </xdr:cNvSpPr>
        </xdr:nvSpPr>
        <xdr:spPr bwMode="auto">
          <a:xfrm>
            <a:off x="38" y="967"/>
            <a:ext cx="35" cy="3"/>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339" name="AutoShape 504">
            <a:extLst>
              <a:ext uri="{FF2B5EF4-FFF2-40B4-BE49-F238E27FC236}">
                <a16:creationId xmlns:a16="http://schemas.microsoft.com/office/drawing/2014/main" id="{00000000-0008-0000-0000-000053010000}"/>
              </a:ext>
            </a:extLst>
          </xdr:cNvPr>
          <xdr:cNvSpPr>
            <a:spLocks noChangeArrowheads="1"/>
          </xdr:cNvSpPr>
        </xdr:nvSpPr>
        <xdr:spPr bwMode="auto">
          <a:xfrm rot="10800000">
            <a:off x="39" y="881"/>
            <a:ext cx="33" cy="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618 w 21600"/>
              <a:gd name="T13" fmla="*/ 0 h 21600"/>
              <a:gd name="T14" fmla="*/ 18982 w 21600"/>
              <a:gd name="T15" fmla="*/ 21600 h 21600"/>
            </a:gdLst>
            <a:ahLst/>
            <a:cxnLst>
              <a:cxn ang="T8">
                <a:pos x="T0" y="T1"/>
              </a:cxn>
              <a:cxn ang="T9">
                <a:pos x="T2" y="T3"/>
              </a:cxn>
              <a:cxn ang="T10">
                <a:pos x="T4" y="T5"/>
              </a:cxn>
              <a:cxn ang="T11">
                <a:pos x="T6" y="T7"/>
              </a:cxn>
            </a:cxnLst>
            <a:rect l="T12" t="T13" r="T14" b="T15"/>
            <a:pathLst>
              <a:path w="21600" h="21600">
                <a:moveTo>
                  <a:pt x="0" y="0"/>
                </a:moveTo>
                <a:lnTo>
                  <a:pt x="1246" y="21600"/>
                </a:lnTo>
                <a:lnTo>
                  <a:pt x="20354" y="21600"/>
                </a:lnTo>
                <a:lnTo>
                  <a:pt x="21600" y="0"/>
                </a:lnTo>
                <a:lnTo>
                  <a:pt x="0" y="0"/>
                </a:lnTo>
                <a:close/>
              </a:path>
            </a:pathLst>
          </a:custGeom>
          <a:solidFill>
            <a:srgbClr val="FF0000"/>
          </a:solidFill>
          <a:ln w="9525">
            <a:solidFill>
              <a:srgbClr val="000000"/>
            </a:solidFill>
            <a:miter lim="800000"/>
            <a:headEnd/>
            <a:tailEnd/>
          </a:ln>
        </xdr:spPr>
      </xdr:sp>
      <xdr:sp macro="" textlink="">
        <xdr:nvSpPr>
          <xdr:cNvPr id="340" name="Rectangle 505">
            <a:extLst>
              <a:ext uri="{FF2B5EF4-FFF2-40B4-BE49-F238E27FC236}">
                <a16:creationId xmlns:a16="http://schemas.microsoft.com/office/drawing/2014/main" id="{00000000-0008-0000-0000-000054010000}"/>
              </a:ext>
            </a:extLst>
          </xdr:cNvPr>
          <xdr:cNvSpPr>
            <a:spLocks noChangeArrowheads="1"/>
          </xdr:cNvSpPr>
        </xdr:nvSpPr>
        <xdr:spPr bwMode="auto">
          <a:xfrm>
            <a:off x="38" y="1038"/>
            <a:ext cx="36" cy="2"/>
          </a:xfrm>
          <a:prstGeom prst="rect">
            <a:avLst/>
          </a:prstGeom>
          <a:solidFill>
            <a:srgbClr val="FF0000"/>
          </a:solidFill>
          <a:ln w="9525">
            <a:solidFill>
              <a:srgbClr val="000000"/>
            </a:solidFill>
            <a:miter lim="800000"/>
            <a:headEnd/>
            <a:tailEnd/>
          </a:ln>
        </xdr:spPr>
      </xdr:sp>
      <xdr:sp macro="" textlink="">
        <xdr:nvSpPr>
          <xdr:cNvPr id="341" name="Rectangle 506">
            <a:extLst>
              <a:ext uri="{FF2B5EF4-FFF2-40B4-BE49-F238E27FC236}">
                <a16:creationId xmlns:a16="http://schemas.microsoft.com/office/drawing/2014/main" id="{00000000-0008-0000-0000-000055010000}"/>
              </a:ext>
            </a:extLst>
          </xdr:cNvPr>
          <xdr:cNvSpPr>
            <a:spLocks noChangeArrowheads="1"/>
          </xdr:cNvSpPr>
        </xdr:nvSpPr>
        <xdr:spPr bwMode="auto">
          <a:xfrm>
            <a:off x="38" y="1059"/>
            <a:ext cx="36" cy="4"/>
          </a:xfrm>
          <a:prstGeom prst="rect">
            <a:avLst/>
          </a:prstGeom>
          <a:gradFill rotWithShape="0">
            <a:gsLst>
              <a:gs pos="0">
                <a:srgbClr val="760000"/>
              </a:gs>
              <a:gs pos="50000">
                <a:srgbClr val="FF0000"/>
              </a:gs>
              <a:gs pos="100000">
                <a:srgbClr val="760000"/>
              </a:gs>
            </a:gsLst>
            <a:lin ang="0" scaled="1"/>
          </a:gradFill>
          <a:ln w="9525">
            <a:solidFill>
              <a:srgbClr val="000000"/>
            </a:solidFill>
            <a:miter lim="800000"/>
            <a:headEnd/>
            <a:tailEnd/>
          </a:ln>
        </xdr:spPr>
      </xdr:sp>
    </xdr:grpSp>
    <xdr:clientData/>
  </xdr:twoCellAnchor>
  <xdr:twoCellAnchor>
    <xdr:from>
      <xdr:col>0</xdr:col>
      <xdr:colOff>866775</xdr:colOff>
      <xdr:row>62</xdr:row>
      <xdr:rowOff>171450</xdr:rowOff>
    </xdr:from>
    <xdr:to>
      <xdr:col>0</xdr:col>
      <xdr:colOff>952500</xdr:colOff>
      <xdr:row>63</xdr:row>
      <xdr:rowOff>85725</xdr:rowOff>
    </xdr:to>
    <xdr:grpSp>
      <xdr:nvGrpSpPr>
        <xdr:cNvPr id="417" name="Group 507">
          <a:extLst>
            <a:ext uri="{FF2B5EF4-FFF2-40B4-BE49-F238E27FC236}">
              <a16:creationId xmlns:a16="http://schemas.microsoft.com/office/drawing/2014/main" id="{00000000-0008-0000-0000-0000A1010000}"/>
            </a:ext>
          </a:extLst>
        </xdr:cNvPr>
        <xdr:cNvGrpSpPr>
          <a:grpSpLocks/>
        </xdr:cNvGrpSpPr>
      </xdr:nvGrpSpPr>
      <xdr:grpSpPr bwMode="auto">
        <a:xfrm>
          <a:off x="866775" y="12182475"/>
          <a:ext cx="85725" cy="114300"/>
          <a:chOff x="170" y="1433"/>
          <a:chExt cx="9" cy="12"/>
        </a:xfrm>
      </xdr:grpSpPr>
      <xdr:sp macro="" textlink="">
        <xdr:nvSpPr>
          <xdr:cNvPr id="418" name="Line 508">
            <a:extLst>
              <a:ext uri="{FF2B5EF4-FFF2-40B4-BE49-F238E27FC236}">
                <a16:creationId xmlns:a16="http://schemas.microsoft.com/office/drawing/2014/main" id="{00000000-0008-0000-0000-0000A2010000}"/>
              </a:ext>
            </a:extLst>
          </xdr:cNvPr>
          <xdr:cNvSpPr>
            <a:spLocks noChangeShapeType="1"/>
          </xdr:cNvSpPr>
        </xdr:nvSpPr>
        <xdr:spPr bwMode="auto">
          <a:xfrm flipH="1">
            <a:off x="170" y="1433"/>
            <a:ext cx="9"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9" name="Arc 509">
            <a:extLst>
              <a:ext uri="{FF2B5EF4-FFF2-40B4-BE49-F238E27FC236}">
                <a16:creationId xmlns:a16="http://schemas.microsoft.com/office/drawing/2014/main" id="{00000000-0008-0000-0000-0000A3010000}"/>
              </a:ext>
            </a:extLst>
          </xdr:cNvPr>
          <xdr:cNvSpPr>
            <a:spLocks/>
          </xdr:cNvSpPr>
        </xdr:nvSpPr>
        <xdr:spPr bwMode="auto">
          <a:xfrm flipV="1">
            <a:off x="170" y="1433"/>
            <a:ext cx="9" cy="12"/>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solidFill>
            <a:srgbClr val="000000"/>
          </a:solidFill>
          <a:ln w="9525">
            <a:solidFill>
              <a:srgbClr val="000000"/>
            </a:solidFill>
            <a:round/>
            <a:headEnd/>
            <a:tailEnd/>
          </a:ln>
        </xdr:spPr>
      </xdr:sp>
    </xdr:grpSp>
    <xdr:clientData/>
  </xdr:twoCellAnchor>
  <xdr:twoCellAnchor>
    <xdr:from>
      <xdr:col>0</xdr:col>
      <xdr:colOff>209550</xdr:colOff>
      <xdr:row>62</xdr:row>
      <xdr:rowOff>38100</xdr:rowOff>
    </xdr:from>
    <xdr:to>
      <xdr:col>0</xdr:col>
      <xdr:colOff>847725</xdr:colOff>
      <xdr:row>63</xdr:row>
      <xdr:rowOff>0</xdr:rowOff>
    </xdr:to>
    <xdr:sp macro="" textlink="">
      <xdr:nvSpPr>
        <xdr:cNvPr id="420" name="Rectangle 510" descr="20%">
          <a:extLst>
            <a:ext uri="{FF2B5EF4-FFF2-40B4-BE49-F238E27FC236}">
              <a16:creationId xmlns:a16="http://schemas.microsoft.com/office/drawing/2014/main" id="{00000000-0008-0000-0000-0000A4010000}"/>
            </a:ext>
          </a:extLst>
        </xdr:cNvPr>
        <xdr:cNvSpPr>
          <a:spLocks noChangeArrowheads="1"/>
        </xdr:cNvSpPr>
      </xdr:nvSpPr>
      <xdr:spPr bwMode="auto">
        <a:xfrm>
          <a:off x="209550" y="12049125"/>
          <a:ext cx="638175" cy="161925"/>
        </a:xfrm>
        <a:prstGeom prst="rect">
          <a:avLst/>
        </a:prstGeom>
        <a:blipFill dpi="0" rotWithShape="0">
          <a:blip xmlns:r="http://schemas.openxmlformats.org/officeDocument/2006/relationships" r:embed="rId6"/>
          <a:srcRect/>
          <a:tile tx="0" ty="0" sx="100000" sy="100000" flip="none" algn="tl"/>
        </a:blipFill>
        <a:ln w="9525">
          <a:pattFill prst="pct20">
            <a:fgClr>
              <a:srgbClr val="000000"/>
            </a:fgClr>
            <a:bgClr>
              <a:srgbClr val="FFFFFF"/>
            </a:bgClr>
          </a:pattFill>
          <a:miter lim="800000"/>
          <a:headEnd/>
          <a:tailEnd/>
        </a:ln>
      </xdr:spPr>
    </xdr:sp>
    <xdr:clientData/>
  </xdr:twoCellAnchor>
  <xdr:twoCellAnchor>
    <xdr:from>
      <xdr:col>0</xdr:col>
      <xdr:colOff>200025</xdr:colOff>
      <xdr:row>19</xdr:row>
      <xdr:rowOff>28575</xdr:rowOff>
    </xdr:from>
    <xdr:to>
      <xdr:col>0</xdr:col>
      <xdr:colOff>809625</xdr:colOff>
      <xdr:row>19</xdr:row>
      <xdr:rowOff>85725</xdr:rowOff>
    </xdr:to>
    <xdr:sp macro="" textlink="">
      <xdr:nvSpPr>
        <xdr:cNvPr id="421" name="AutoShape 342">
          <a:extLst>
            <a:ext uri="{FF2B5EF4-FFF2-40B4-BE49-F238E27FC236}">
              <a16:creationId xmlns:a16="http://schemas.microsoft.com/office/drawing/2014/main" id="{00000000-0008-0000-0000-0000A5010000}"/>
            </a:ext>
          </a:extLst>
        </xdr:cNvPr>
        <xdr:cNvSpPr>
          <a:spLocks noChangeArrowheads="1"/>
        </xdr:cNvSpPr>
      </xdr:nvSpPr>
      <xdr:spPr bwMode="auto">
        <a:xfrm rot="16209932" flipH="1">
          <a:off x="476250" y="3171825"/>
          <a:ext cx="57150" cy="609600"/>
        </a:xfrm>
        <a:prstGeom prst="roundRect">
          <a:avLst>
            <a:gd name="adj" fmla="val 16667"/>
          </a:avLst>
        </a:prstGeom>
        <a:gradFill rotWithShape="0">
          <a:gsLst>
            <a:gs pos="0">
              <a:srgbClr val="181818"/>
            </a:gs>
            <a:gs pos="50000">
              <a:srgbClr val="333333"/>
            </a:gs>
            <a:gs pos="100000">
              <a:srgbClr val="181818"/>
            </a:gs>
          </a:gsLst>
          <a:lin ang="0" scaled="1"/>
        </a:gradFill>
        <a:ln w="9525">
          <a:solidFill>
            <a:srgbClr val="000000"/>
          </a:solidFill>
          <a:round/>
          <a:headEnd/>
          <a:tailEnd/>
        </a:ln>
      </xdr:spPr>
    </xdr:sp>
    <xdr:clientData/>
  </xdr:twoCellAnchor>
  <xdr:twoCellAnchor>
    <xdr:from>
      <xdr:col>0</xdr:col>
      <xdr:colOff>200025</xdr:colOff>
      <xdr:row>16</xdr:row>
      <xdr:rowOff>171450</xdr:rowOff>
    </xdr:from>
    <xdr:to>
      <xdr:col>0</xdr:col>
      <xdr:colOff>809625</xdr:colOff>
      <xdr:row>17</xdr:row>
      <xdr:rowOff>171450</xdr:rowOff>
    </xdr:to>
    <xdr:sp macro="" textlink="">
      <xdr:nvSpPr>
        <xdr:cNvPr id="422" name="Rectangle 343">
          <a:extLst>
            <a:ext uri="{FF2B5EF4-FFF2-40B4-BE49-F238E27FC236}">
              <a16:creationId xmlns:a16="http://schemas.microsoft.com/office/drawing/2014/main" id="{00000000-0008-0000-0000-0000A6010000}"/>
            </a:ext>
          </a:extLst>
        </xdr:cNvPr>
        <xdr:cNvSpPr>
          <a:spLocks noChangeArrowheads="1"/>
        </xdr:cNvSpPr>
      </xdr:nvSpPr>
      <xdr:spPr bwMode="auto">
        <a:xfrm rot="16209932" flipH="1">
          <a:off x="404812" y="2786063"/>
          <a:ext cx="200025" cy="609600"/>
        </a:xfrm>
        <a:prstGeom prst="rect">
          <a:avLst/>
        </a:prstGeom>
        <a:gradFill rotWithShape="0">
          <a:gsLst>
            <a:gs pos="0">
              <a:srgbClr val="AF0000"/>
            </a:gs>
            <a:gs pos="50000">
              <a:srgbClr val="FF0000"/>
            </a:gs>
            <a:gs pos="100000">
              <a:srgbClr val="AF0000"/>
            </a:gs>
          </a:gsLst>
          <a:lin ang="0" scaled="1"/>
        </a:gradFill>
        <a:ln w="9525">
          <a:solidFill>
            <a:srgbClr val="000000"/>
          </a:solidFill>
          <a:miter lim="800000"/>
          <a:headEnd/>
          <a:tailEnd/>
        </a:ln>
      </xdr:spPr>
    </xdr:sp>
    <xdr:clientData/>
  </xdr:twoCellAnchor>
  <xdr:twoCellAnchor>
    <xdr:from>
      <xdr:col>0</xdr:col>
      <xdr:colOff>200025</xdr:colOff>
      <xdr:row>19</xdr:row>
      <xdr:rowOff>95250</xdr:rowOff>
    </xdr:from>
    <xdr:to>
      <xdr:col>0</xdr:col>
      <xdr:colOff>809625</xdr:colOff>
      <xdr:row>20</xdr:row>
      <xdr:rowOff>85725</xdr:rowOff>
    </xdr:to>
    <xdr:sp macro="" textlink="">
      <xdr:nvSpPr>
        <xdr:cNvPr id="423" name="AutoShape 345">
          <a:extLst>
            <a:ext uri="{FF2B5EF4-FFF2-40B4-BE49-F238E27FC236}">
              <a16:creationId xmlns:a16="http://schemas.microsoft.com/office/drawing/2014/main" id="{00000000-0008-0000-0000-0000A7010000}"/>
            </a:ext>
          </a:extLst>
        </xdr:cNvPr>
        <xdr:cNvSpPr>
          <a:spLocks noChangeArrowheads="1"/>
        </xdr:cNvSpPr>
      </xdr:nvSpPr>
      <xdr:spPr bwMode="auto">
        <a:xfrm rot="16209932" flipH="1">
          <a:off x="409575" y="3305175"/>
          <a:ext cx="190500" cy="609600"/>
        </a:xfrm>
        <a:prstGeom prst="flowChartAlternateProcess">
          <a:avLst/>
        </a:prstGeom>
        <a:gradFill rotWithShape="0">
          <a:gsLst>
            <a:gs pos="0">
              <a:srgbClr val="AF0000"/>
            </a:gs>
            <a:gs pos="50000">
              <a:srgbClr val="FF0000"/>
            </a:gs>
            <a:gs pos="100000">
              <a:srgbClr val="AF0000"/>
            </a:gs>
          </a:gsLst>
          <a:lin ang="0" scaled="1"/>
        </a:gradFill>
        <a:ln w="9525">
          <a:solidFill>
            <a:srgbClr val="000000"/>
          </a:solidFill>
          <a:miter lim="800000"/>
          <a:headEnd/>
          <a:tailEnd/>
        </a:ln>
      </xdr:spPr>
    </xdr:sp>
    <xdr:clientData/>
  </xdr:twoCellAnchor>
  <xdr:twoCellAnchor>
    <xdr:from>
      <xdr:col>0</xdr:col>
      <xdr:colOff>190500</xdr:colOff>
      <xdr:row>22</xdr:row>
      <xdr:rowOff>19050</xdr:rowOff>
    </xdr:from>
    <xdr:to>
      <xdr:col>0</xdr:col>
      <xdr:colOff>800100</xdr:colOff>
      <xdr:row>22</xdr:row>
      <xdr:rowOff>114300</xdr:rowOff>
    </xdr:to>
    <xdr:sp macro="" textlink="">
      <xdr:nvSpPr>
        <xdr:cNvPr id="424" name="Rectangle 347">
          <a:extLst>
            <a:ext uri="{FF2B5EF4-FFF2-40B4-BE49-F238E27FC236}">
              <a16:creationId xmlns:a16="http://schemas.microsoft.com/office/drawing/2014/main" id="{00000000-0008-0000-0000-0000A8010000}"/>
            </a:ext>
          </a:extLst>
        </xdr:cNvPr>
        <xdr:cNvSpPr>
          <a:spLocks noChangeArrowheads="1"/>
        </xdr:cNvSpPr>
      </xdr:nvSpPr>
      <xdr:spPr bwMode="auto">
        <a:xfrm rot="16209932" flipH="1">
          <a:off x="447675" y="3781425"/>
          <a:ext cx="95250" cy="609600"/>
        </a:xfrm>
        <a:prstGeom prst="rect">
          <a:avLst/>
        </a:prstGeom>
        <a:gradFill rotWithShape="1">
          <a:gsLst>
            <a:gs pos="0">
              <a:srgbClr val="791800"/>
            </a:gs>
            <a:gs pos="50000">
              <a:srgbClr val="FF3300"/>
            </a:gs>
            <a:gs pos="100000">
              <a:srgbClr val="791800"/>
            </a:gs>
          </a:gsLst>
          <a:lin ang="5400000" scaled="1"/>
        </a:gradFill>
        <a:ln w="9525">
          <a:solidFill>
            <a:srgbClr val="000000"/>
          </a:solidFill>
          <a:miter lim="800000"/>
          <a:headEnd/>
          <a:tailEnd/>
        </a:ln>
      </xdr:spPr>
    </xdr:sp>
    <xdr:clientData/>
  </xdr:twoCellAnchor>
  <xdr:twoCellAnchor>
    <xdr:from>
      <xdr:col>0</xdr:col>
      <xdr:colOff>200025</xdr:colOff>
      <xdr:row>20</xdr:row>
      <xdr:rowOff>85725</xdr:rowOff>
    </xdr:from>
    <xdr:to>
      <xdr:col>0</xdr:col>
      <xdr:colOff>809625</xdr:colOff>
      <xdr:row>21</xdr:row>
      <xdr:rowOff>180975</xdr:rowOff>
    </xdr:to>
    <xdr:grpSp>
      <xdr:nvGrpSpPr>
        <xdr:cNvPr id="425" name="Group 348">
          <a:extLst>
            <a:ext uri="{FF2B5EF4-FFF2-40B4-BE49-F238E27FC236}">
              <a16:creationId xmlns:a16="http://schemas.microsoft.com/office/drawing/2014/main" id="{00000000-0008-0000-0000-0000A9010000}"/>
            </a:ext>
          </a:extLst>
        </xdr:cNvPr>
        <xdr:cNvGrpSpPr>
          <a:grpSpLocks/>
        </xdr:cNvGrpSpPr>
      </xdr:nvGrpSpPr>
      <xdr:grpSpPr bwMode="auto">
        <a:xfrm rot="16200000" flipH="1">
          <a:off x="357187" y="3548063"/>
          <a:ext cx="295275" cy="609600"/>
          <a:chOff x="2122" y="317"/>
          <a:chExt cx="48" cy="35"/>
        </a:xfrm>
      </xdr:grpSpPr>
      <xdr:sp macro="" textlink="">
        <xdr:nvSpPr>
          <xdr:cNvPr id="426" name="AutoShape 349">
            <a:extLst>
              <a:ext uri="{FF2B5EF4-FFF2-40B4-BE49-F238E27FC236}">
                <a16:creationId xmlns:a16="http://schemas.microsoft.com/office/drawing/2014/main" id="{00000000-0008-0000-0000-0000AA010000}"/>
              </a:ext>
            </a:extLst>
          </xdr:cNvPr>
          <xdr:cNvSpPr>
            <a:spLocks noChangeArrowheads="1"/>
          </xdr:cNvSpPr>
        </xdr:nvSpPr>
        <xdr:spPr bwMode="auto">
          <a:xfrm rot="-9932">
            <a:off x="2157" y="317"/>
            <a:ext cx="13" cy="35"/>
          </a:xfrm>
          <a:prstGeom prst="roundRect">
            <a:avLst>
              <a:gd name="adj" fmla="val 16667"/>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27" name="Rectangle 350">
            <a:extLst>
              <a:ext uri="{FF2B5EF4-FFF2-40B4-BE49-F238E27FC236}">
                <a16:creationId xmlns:a16="http://schemas.microsoft.com/office/drawing/2014/main" id="{00000000-0008-0000-0000-0000AB010000}"/>
              </a:ext>
            </a:extLst>
          </xdr:cNvPr>
          <xdr:cNvSpPr>
            <a:spLocks noChangeArrowheads="1"/>
          </xdr:cNvSpPr>
        </xdr:nvSpPr>
        <xdr:spPr bwMode="auto">
          <a:xfrm rot="-9932">
            <a:off x="2122" y="317"/>
            <a:ext cx="14" cy="35"/>
          </a:xfrm>
          <a:prstGeom prst="rect">
            <a:avLst/>
          </a:prstGeom>
          <a:gradFill rotWithShape="0">
            <a:gsLst>
              <a:gs pos="0">
                <a:srgbClr val="AF0000"/>
              </a:gs>
              <a:gs pos="50000">
                <a:srgbClr val="FF0000"/>
              </a:gs>
              <a:gs pos="100000">
                <a:srgbClr val="AF0000"/>
              </a:gs>
            </a:gsLst>
            <a:lin ang="0" scaled="1"/>
          </a:gradFill>
          <a:ln w="9525">
            <a:solidFill>
              <a:srgbClr val="000000"/>
            </a:solidFill>
            <a:miter lim="800000"/>
            <a:headEnd/>
            <a:tailEnd/>
          </a:ln>
        </xdr:spPr>
      </xdr:sp>
      <xdr:sp macro="" textlink="">
        <xdr:nvSpPr>
          <xdr:cNvPr id="428" name="Rectangle 351">
            <a:extLst>
              <a:ext uri="{FF2B5EF4-FFF2-40B4-BE49-F238E27FC236}">
                <a16:creationId xmlns:a16="http://schemas.microsoft.com/office/drawing/2014/main" id="{00000000-0008-0000-0000-0000AC010000}"/>
              </a:ext>
            </a:extLst>
          </xdr:cNvPr>
          <xdr:cNvSpPr>
            <a:spLocks noChangeArrowheads="1"/>
          </xdr:cNvSpPr>
        </xdr:nvSpPr>
        <xdr:spPr bwMode="auto">
          <a:xfrm rot="-9932">
            <a:off x="2136" y="320"/>
            <a:ext cx="9" cy="30"/>
          </a:xfrm>
          <a:prstGeom prst="rect">
            <a:avLst/>
          </a:prstGeom>
          <a:gradFill rotWithShape="0">
            <a:gsLst>
              <a:gs pos="0">
                <a:srgbClr val="AF0000"/>
              </a:gs>
              <a:gs pos="50000">
                <a:srgbClr val="FF0000"/>
              </a:gs>
              <a:gs pos="100000">
                <a:srgbClr val="AF0000"/>
              </a:gs>
            </a:gsLst>
            <a:lin ang="0" scaled="1"/>
          </a:gradFill>
          <a:ln w="9525">
            <a:solidFill>
              <a:srgbClr val="000000"/>
            </a:solidFill>
            <a:miter lim="800000"/>
            <a:headEnd/>
            <a:tailEnd/>
          </a:ln>
        </xdr:spPr>
      </xdr:sp>
      <xdr:sp macro="" textlink="">
        <xdr:nvSpPr>
          <xdr:cNvPr id="429" name="Rectangle 352">
            <a:extLst>
              <a:ext uri="{FF2B5EF4-FFF2-40B4-BE49-F238E27FC236}">
                <a16:creationId xmlns:a16="http://schemas.microsoft.com/office/drawing/2014/main" id="{00000000-0008-0000-0000-0000AD010000}"/>
              </a:ext>
            </a:extLst>
          </xdr:cNvPr>
          <xdr:cNvSpPr>
            <a:spLocks noChangeArrowheads="1"/>
          </xdr:cNvSpPr>
        </xdr:nvSpPr>
        <xdr:spPr bwMode="auto">
          <a:xfrm rot="-9932">
            <a:off x="2145" y="317"/>
            <a:ext cx="13" cy="35"/>
          </a:xfrm>
          <a:prstGeom prst="rect">
            <a:avLst/>
          </a:prstGeom>
          <a:gradFill rotWithShape="0">
            <a:gsLst>
              <a:gs pos="0">
                <a:srgbClr val="AF0000"/>
              </a:gs>
              <a:gs pos="50000">
                <a:srgbClr val="FF0000"/>
              </a:gs>
              <a:gs pos="100000">
                <a:srgbClr val="AF0000"/>
              </a:gs>
            </a:gsLst>
            <a:lin ang="0" scaled="1"/>
          </a:gradFill>
          <a:ln w="9525">
            <a:solidFill>
              <a:srgbClr val="000000"/>
            </a:solidFill>
            <a:miter lim="800000"/>
            <a:headEnd/>
            <a:tailEnd/>
          </a:ln>
        </xdr:spPr>
      </xdr:sp>
      <xdr:sp macro="" textlink="">
        <xdr:nvSpPr>
          <xdr:cNvPr id="430" name="Line 353">
            <a:extLst>
              <a:ext uri="{FF2B5EF4-FFF2-40B4-BE49-F238E27FC236}">
                <a16:creationId xmlns:a16="http://schemas.microsoft.com/office/drawing/2014/main" id="{00000000-0008-0000-0000-0000AE010000}"/>
              </a:ext>
            </a:extLst>
          </xdr:cNvPr>
          <xdr:cNvSpPr>
            <a:spLocks noChangeShapeType="1"/>
          </xdr:cNvSpPr>
        </xdr:nvSpPr>
        <xdr:spPr bwMode="auto">
          <a:xfrm>
            <a:off x="2130" y="324"/>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1" name="Line 354">
            <a:extLst>
              <a:ext uri="{FF2B5EF4-FFF2-40B4-BE49-F238E27FC236}">
                <a16:creationId xmlns:a16="http://schemas.microsoft.com/office/drawing/2014/main" id="{00000000-0008-0000-0000-0000AF010000}"/>
              </a:ext>
            </a:extLst>
          </xdr:cNvPr>
          <xdr:cNvSpPr>
            <a:spLocks noChangeShapeType="1"/>
          </xdr:cNvSpPr>
        </xdr:nvSpPr>
        <xdr:spPr bwMode="auto">
          <a:xfrm>
            <a:off x="2128" y="326"/>
            <a:ext cx="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2" name="Line 355">
            <a:extLst>
              <a:ext uri="{FF2B5EF4-FFF2-40B4-BE49-F238E27FC236}">
                <a16:creationId xmlns:a16="http://schemas.microsoft.com/office/drawing/2014/main" id="{00000000-0008-0000-0000-0000B0010000}"/>
              </a:ext>
            </a:extLst>
          </xdr:cNvPr>
          <xdr:cNvSpPr>
            <a:spLocks noChangeShapeType="1"/>
          </xdr:cNvSpPr>
        </xdr:nvSpPr>
        <xdr:spPr bwMode="auto">
          <a:xfrm>
            <a:off x="2130" y="320"/>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3" name="Line 356">
            <a:extLst>
              <a:ext uri="{FF2B5EF4-FFF2-40B4-BE49-F238E27FC236}">
                <a16:creationId xmlns:a16="http://schemas.microsoft.com/office/drawing/2014/main" id="{00000000-0008-0000-0000-0000B1010000}"/>
              </a:ext>
            </a:extLst>
          </xdr:cNvPr>
          <xdr:cNvSpPr>
            <a:spLocks noChangeShapeType="1"/>
          </xdr:cNvSpPr>
        </xdr:nvSpPr>
        <xdr:spPr bwMode="auto">
          <a:xfrm flipV="1">
            <a:off x="2128" y="322"/>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4" name="Line 357">
            <a:extLst>
              <a:ext uri="{FF2B5EF4-FFF2-40B4-BE49-F238E27FC236}">
                <a16:creationId xmlns:a16="http://schemas.microsoft.com/office/drawing/2014/main" id="{00000000-0008-0000-0000-0000B2010000}"/>
              </a:ext>
            </a:extLst>
          </xdr:cNvPr>
          <xdr:cNvSpPr>
            <a:spLocks noChangeShapeType="1"/>
          </xdr:cNvSpPr>
        </xdr:nvSpPr>
        <xdr:spPr bwMode="auto">
          <a:xfrm>
            <a:off x="2128" y="330"/>
            <a:ext cx="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5" name="Line 358">
            <a:extLst>
              <a:ext uri="{FF2B5EF4-FFF2-40B4-BE49-F238E27FC236}">
                <a16:creationId xmlns:a16="http://schemas.microsoft.com/office/drawing/2014/main" id="{00000000-0008-0000-0000-0000B3010000}"/>
              </a:ext>
            </a:extLst>
          </xdr:cNvPr>
          <xdr:cNvSpPr>
            <a:spLocks noChangeShapeType="1"/>
          </xdr:cNvSpPr>
        </xdr:nvSpPr>
        <xdr:spPr bwMode="auto">
          <a:xfrm>
            <a:off x="2128" y="334"/>
            <a:ext cx="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6" name="Line 359">
            <a:extLst>
              <a:ext uri="{FF2B5EF4-FFF2-40B4-BE49-F238E27FC236}">
                <a16:creationId xmlns:a16="http://schemas.microsoft.com/office/drawing/2014/main" id="{00000000-0008-0000-0000-0000B4010000}"/>
              </a:ext>
            </a:extLst>
          </xdr:cNvPr>
          <xdr:cNvSpPr>
            <a:spLocks noChangeShapeType="1"/>
          </xdr:cNvSpPr>
        </xdr:nvSpPr>
        <xdr:spPr bwMode="auto">
          <a:xfrm>
            <a:off x="2128" y="338"/>
            <a:ext cx="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7" name="Line 360">
            <a:extLst>
              <a:ext uri="{FF2B5EF4-FFF2-40B4-BE49-F238E27FC236}">
                <a16:creationId xmlns:a16="http://schemas.microsoft.com/office/drawing/2014/main" id="{00000000-0008-0000-0000-0000B5010000}"/>
              </a:ext>
            </a:extLst>
          </xdr:cNvPr>
          <xdr:cNvSpPr>
            <a:spLocks noChangeShapeType="1"/>
          </xdr:cNvSpPr>
        </xdr:nvSpPr>
        <xdr:spPr bwMode="auto">
          <a:xfrm>
            <a:off x="2130" y="328"/>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8" name="Line 361">
            <a:extLst>
              <a:ext uri="{FF2B5EF4-FFF2-40B4-BE49-F238E27FC236}">
                <a16:creationId xmlns:a16="http://schemas.microsoft.com/office/drawing/2014/main" id="{00000000-0008-0000-0000-0000B6010000}"/>
              </a:ext>
            </a:extLst>
          </xdr:cNvPr>
          <xdr:cNvSpPr>
            <a:spLocks noChangeShapeType="1"/>
          </xdr:cNvSpPr>
        </xdr:nvSpPr>
        <xdr:spPr bwMode="auto">
          <a:xfrm>
            <a:off x="2130" y="332"/>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9" name="Line 362">
            <a:extLst>
              <a:ext uri="{FF2B5EF4-FFF2-40B4-BE49-F238E27FC236}">
                <a16:creationId xmlns:a16="http://schemas.microsoft.com/office/drawing/2014/main" id="{00000000-0008-0000-0000-0000B7010000}"/>
              </a:ext>
            </a:extLst>
          </xdr:cNvPr>
          <xdr:cNvSpPr>
            <a:spLocks noChangeShapeType="1"/>
          </xdr:cNvSpPr>
        </xdr:nvSpPr>
        <xdr:spPr bwMode="auto">
          <a:xfrm>
            <a:off x="2130" y="336"/>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0" name="Line 363">
            <a:extLst>
              <a:ext uri="{FF2B5EF4-FFF2-40B4-BE49-F238E27FC236}">
                <a16:creationId xmlns:a16="http://schemas.microsoft.com/office/drawing/2014/main" id="{00000000-0008-0000-0000-0000B8010000}"/>
              </a:ext>
            </a:extLst>
          </xdr:cNvPr>
          <xdr:cNvSpPr>
            <a:spLocks noChangeShapeType="1"/>
          </xdr:cNvSpPr>
        </xdr:nvSpPr>
        <xdr:spPr bwMode="auto">
          <a:xfrm>
            <a:off x="2130" y="344"/>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1" name="Line 364">
            <a:extLst>
              <a:ext uri="{FF2B5EF4-FFF2-40B4-BE49-F238E27FC236}">
                <a16:creationId xmlns:a16="http://schemas.microsoft.com/office/drawing/2014/main" id="{00000000-0008-0000-0000-0000B9010000}"/>
              </a:ext>
            </a:extLst>
          </xdr:cNvPr>
          <xdr:cNvSpPr>
            <a:spLocks noChangeShapeType="1"/>
          </xdr:cNvSpPr>
        </xdr:nvSpPr>
        <xdr:spPr bwMode="auto">
          <a:xfrm>
            <a:off x="2128" y="346"/>
            <a:ext cx="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2" name="Line 365">
            <a:extLst>
              <a:ext uri="{FF2B5EF4-FFF2-40B4-BE49-F238E27FC236}">
                <a16:creationId xmlns:a16="http://schemas.microsoft.com/office/drawing/2014/main" id="{00000000-0008-0000-0000-0000BA010000}"/>
              </a:ext>
            </a:extLst>
          </xdr:cNvPr>
          <xdr:cNvSpPr>
            <a:spLocks noChangeShapeType="1"/>
          </xdr:cNvSpPr>
        </xdr:nvSpPr>
        <xdr:spPr bwMode="auto">
          <a:xfrm>
            <a:off x="2130" y="340"/>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3" name="Line 366">
            <a:extLst>
              <a:ext uri="{FF2B5EF4-FFF2-40B4-BE49-F238E27FC236}">
                <a16:creationId xmlns:a16="http://schemas.microsoft.com/office/drawing/2014/main" id="{00000000-0008-0000-0000-0000BB010000}"/>
              </a:ext>
            </a:extLst>
          </xdr:cNvPr>
          <xdr:cNvSpPr>
            <a:spLocks noChangeShapeType="1"/>
          </xdr:cNvSpPr>
        </xdr:nvSpPr>
        <xdr:spPr bwMode="auto">
          <a:xfrm flipV="1">
            <a:off x="2128" y="342"/>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4" name="Line 367">
            <a:extLst>
              <a:ext uri="{FF2B5EF4-FFF2-40B4-BE49-F238E27FC236}">
                <a16:creationId xmlns:a16="http://schemas.microsoft.com/office/drawing/2014/main" id="{00000000-0008-0000-0000-0000BC010000}"/>
              </a:ext>
            </a:extLst>
          </xdr:cNvPr>
          <xdr:cNvSpPr>
            <a:spLocks noChangeShapeType="1"/>
          </xdr:cNvSpPr>
        </xdr:nvSpPr>
        <xdr:spPr bwMode="auto">
          <a:xfrm>
            <a:off x="2128" y="350"/>
            <a:ext cx="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5" name="Line 368">
            <a:extLst>
              <a:ext uri="{FF2B5EF4-FFF2-40B4-BE49-F238E27FC236}">
                <a16:creationId xmlns:a16="http://schemas.microsoft.com/office/drawing/2014/main" id="{00000000-0008-0000-0000-0000BD010000}"/>
              </a:ext>
            </a:extLst>
          </xdr:cNvPr>
          <xdr:cNvSpPr>
            <a:spLocks noChangeShapeType="1"/>
          </xdr:cNvSpPr>
        </xdr:nvSpPr>
        <xdr:spPr bwMode="auto">
          <a:xfrm>
            <a:off x="2130" y="348"/>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6" name="Line 369">
            <a:extLst>
              <a:ext uri="{FF2B5EF4-FFF2-40B4-BE49-F238E27FC236}">
                <a16:creationId xmlns:a16="http://schemas.microsoft.com/office/drawing/2014/main" id="{00000000-0008-0000-0000-0000BE010000}"/>
              </a:ext>
            </a:extLst>
          </xdr:cNvPr>
          <xdr:cNvSpPr>
            <a:spLocks noChangeShapeType="1"/>
          </xdr:cNvSpPr>
        </xdr:nvSpPr>
        <xdr:spPr bwMode="auto">
          <a:xfrm>
            <a:off x="2130" y="352"/>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7" name="Line 370">
            <a:extLst>
              <a:ext uri="{FF2B5EF4-FFF2-40B4-BE49-F238E27FC236}">
                <a16:creationId xmlns:a16="http://schemas.microsoft.com/office/drawing/2014/main" id="{00000000-0008-0000-0000-0000BF010000}"/>
              </a:ext>
            </a:extLst>
          </xdr:cNvPr>
          <xdr:cNvSpPr>
            <a:spLocks noChangeShapeType="1"/>
          </xdr:cNvSpPr>
        </xdr:nvSpPr>
        <xdr:spPr bwMode="auto">
          <a:xfrm>
            <a:off x="2136" y="322"/>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8" name="Line 371">
            <a:extLst>
              <a:ext uri="{FF2B5EF4-FFF2-40B4-BE49-F238E27FC236}">
                <a16:creationId xmlns:a16="http://schemas.microsoft.com/office/drawing/2014/main" id="{00000000-0008-0000-0000-0000C0010000}"/>
              </a:ext>
            </a:extLst>
          </xdr:cNvPr>
          <xdr:cNvSpPr>
            <a:spLocks noChangeShapeType="1"/>
          </xdr:cNvSpPr>
        </xdr:nvSpPr>
        <xdr:spPr bwMode="auto">
          <a:xfrm>
            <a:off x="2136" y="324"/>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9" name="Line 372">
            <a:extLst>
              <a:ext uri="{FF2B5EF4-FFF2-40B4-BE49-F238E27FC236}">
                <a16:creationId xmlns:a16="http://schemas.microsoft.com/office/drawing/2014/main" id="{00000000-0008-0000-0000-0000C1010000}"/>
              </a:ext>
            </a:extLst>
          </xdr:cNvPr>
          <xdr:cNvSpPr>
            <a:spLocks noChangeShapeType="1"/>
          </xdr:cNvSpPr>
        </xdr:nvSpPr>
        <xdr:spPr bwMode="auto">
          <a:xfrm>
            <a:off x="2136" y="346"/>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0" name="Line 373">
            <a:extLst>
              <a:ext uri="{FF2B5EF4-FFF2-40B4-BE49-F238E27FC236}">
                <a16:creationId xmlns:a16="http://schemas.microsoft.com/office/drawing/2014/main" id="{00000000-0008-0000-0000-0000C2010000}"/>
              </a:ext>
            </a:extLst>
          </xdr:cNvPr>
          <xdr:cNvSpPr>
            <a:spLocks noChangeShapeType="1"/>
          </xdr:cNvSpPr>
        </xdr:nvSpPr>
        <xdr:spPr bwMode="auto">
          <a:xfrm>
            <a:off x="2136" y="348"/>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1" name="Line 374">
            <a:extLst>
              <a:ext uri="{FF2B5EF4-FFF2-40B4-BE49-F238E27FC236}">
                <a16:creationId xmlns:a16="http://schemas.microsoft.com/office/drawing/2014/main" id="{00000000-0008-0000-0000-0000C3010000}"/>
              </a:ext>
            </a:extLst>
          </xdr:cNvPr>
          <xdr:cNvSpPr>
            <a:spLocks noChangeShapeType="1"/>
          </xdr:cNvSpPr>
        </xdr:nvSpPr>
        <xdr:spPr bwMode="auto">
          <a:xfrm>
            <a:off x="2136" y="344"/>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2" name="Line 375">
            <a:extLst>
              <a:ext uri="{FF2B5EF4-FFF2-40B4-BE49-F238E27FC236}">
                <a16:creationId xmlns:a16="http://schemas.microsoft.com/office/drawing/2014/main" id="{00000000-0008-0000-0000-0000C4010000}"/>
              </a:ext>
            </a:extLst>
          </xdr:cNvPr>
          <xdr:cNvSpPr>
            <a:spLocks noChangeShapeType="1"/>
          </xdr:cNvSpPr>
        </xdr:nvSpPr>
        <xdr:spPr bwMode="auto">
          <a:xfrm>
            <a:off x="2136" y="342"/>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3" name="Line 376">
            <a:extLst>
              <a:ext uri="{FF2B5EF4-FFF2-40B4-BE49-F238E27FC236}">
                <a16:creationId xmlns:a16="http://schemas.microsoft.com/office/drawing/2014/main" id="{00000000-0008-0000-0000-0000C5010000}"/>
              </a:ext>
            </a:extLst>
          </xdr:cNvPr>
          <xdr:cNvSpPr>
            <a:spLocks noChangeShapeType="1"/>
          </xdr:cNvSpPr>
        </xdr:nvSpPr>
        <xdr:spPr bwMode="auto">
          <a:xfrm>
            <a:off x="2136" y="340"/>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4" name="Line 377">
            <a:extLst>
              <a:ext uri="{FF2B5EF4-FFF2-40B4-BE49-F238E27FC236}">
                <a16:creationId xmlns:a16="http://schemas.microsoft.com/office/drawing/2014/main" id="{00000000-0008-0000-0000-0000C6010000}"/>
              </a:ext>
            </a:extLst>
          </xdr:cNvPr>
          <xdr:cNvSpPr>
            <a:spLocks noChangeShapeType="1"/>
          </xdr:cNvSpPr>
        </xdr:nvSpPr>
        <xdr:spPr bwMode="auto">
          <a:xfrm>
            <a:off x="2136" y="338"/>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5" name="Line 378">
            <a:extLst>
              <a:ext uri="{FF2B5EF4-FFF2-40B4-BE49-F238E27FC236}">
                <a16:creationId xmlns:a16="http://schemas.microsoft.com/office/drawing/2014/main" id="{00000000-0008-0000-0000-0000C7010000}"/>
              </a:ext>
            </a:extLst>
          </xdr:cNvPr>
          <xdr:cNvSpPr>
            <a:spLocks noChangeShapeType="1"/>
          </xdr:cNvSpPr>
        </xdr:nvSpPr>
        <xdr:spPr bwMode="auto">
          <a:xfrm>
            <a:off x="2136" y="336"/>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6" name="Line 379">
            <a:extLst>
              <a:ext uri="{FF2B5EF4-FFF2-40B4-BE49-F238E27FC236}">
                <a16:creationId xmlns:a16="http://schemas.microsoft.com/office/drawing/2014/main" id="{00000000-0008-0000-0000-0000C8010000}"/>
              </a:ext>
            </a:extLst>
          </xdr:cNvPr>
          <xdr:cNvSpPr>
            <a:spLocks noChangeShapeType="1"/>
          </xdr:cNvSpPr>
        </xdr:nvSpPr>
        <xdr:spPr bwMode="auto">
          <a:xfrm>
            <a:off x="2136" y="334"/>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7" name="Line 380">
            <a:extLst>
              <a:ext uri="{FF2B5EF4-FFF2-40B4-BE49-F238E27FC236}">
                <a16:creationId xmlns:a16="http://schemas.microsoft.com/office/drawing/2014/main" id="{00000000-0008-0000-0000-0000C9010000}"/>
              </a:ext>
            </a:extLst>
          </xdr:cNvPr>
          <xdr:cNvSpPr>
            <a:spLocks noChangeShapeType="1"/>
          </xdr:cNvSpPr>
        </xdr:nvSpPr>
        <xdr:spPr bwMode="auto">
          <a:xfrm>
            <a:off x="2136" y="332"/>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8" name="Line 381">
            <a:extLst>
              <a:ext uri="{FF2B5EF4-FFF2-40B4-BE49-F238E27FC236}">
                <a16:creationId xmlns:a16="http://schemas.microsoft.com/office/drawing/2014/main" id="{00000000-0008-0000-0000-0000CA010000}"/>
              </a:ext>
            </a:extLst>
          </xdr:cNvPr>
          <xdr:cNvSpPr>
            <a:spLocks noChangeShapeType="1"/>
          </xdr:cNvSpPr>
        </xdr:nvSpPr>
        <xdr:spPr bwMode="auto">
          <a:xfrm>
            <a:off x="2136" y="330"/>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9" name="Line 382">
            <a:extLst>
              <a:ext uri="{FF2B5EF4-FFF2-40B4-BE49-F238E27FC236}">
                <a16:creationId xmlns:a16="http://schemas.microsoft.com/office/drawing/2014/main" id="{00000000-0008-0000-0000-0000CB010000}"/>
              </a:ext>
            </a:extLst>
          </xdr:cNvPr>
          <xdr:cNvSpPr>
            <a:spLocks noChangeShapeType="1"/>
          </xdr:cNvSpPr>
        </xdr:nvSpPr>
        <xdr:spPr bwMode="auto">
          <a:xfrm>
            <a:off x="2136" y="328"/>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0" name="Line 383">
            <a:extLst>
              <a:ext uri="{FF2B5EF4-FFF2-40B4-BE49-F238E27FC236}">
                <a16:creationId xmlns:a16="http://schemas.microsoft.com/office/drawing/2014/main" id="{00000000-0008-0000-0000-0000CC010000}"/>
              </a:ext>
            </a:extLst>
          </xdr:cNvPr>
          <xdr:cNvSpPr>
            <a:spLocks noChangeShapeType="1"/>
          </xdr:cNvSpPr>
        </xdr:nvSpPr>
        <xdr:spPr bwMode="auto">
          <a:xfrm>
            <a:off x="2136" y="326"/>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1" name="Line 384">
            <a:extLst>
              <a:ext uri="{FF2B5EF4-FFF2-40B4-BE49-F238E27FC236}">
                <a16:creationId xmlns:a16="http://schemas.microsoft.com/office/drawing/2014/main" id="{00000000-0008-0000-0000-0000CD010000}"/>
              </a:ext>
            </a:extLst>
          </xdr:cNvPr>
          <xdr:cNvSpPr>
            <a:spLocks noChangeShapeType="1"/>
          </xdr:cNvSpPr>
        </xdr:nvSpPr>
        <xdr:spPr bwMode="auto">
          <a:xfrm rot="-10775089">
            <a:off x="2143" y="346"/>
            <a:ext cx="1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2" name="Line 385">
            <a:extLst>
              <a:ext uri="{FF2B5EF4-FFF2-40B4-BE49-F238E27FC236}">
                <a16:creationId xmlns:a16="http://schemas.microsoft.com/office/drawing/2014/main" id="{00000000-0008-0000-0000-0000CE010000}"/>
              </a:ext>
            </a:extLst>
          </xdr:cNvPr>
          <xdr:cNvSpPr>
            <a:spLocks noChangeShapeType="1"/>
          </xdr:cNvSpPr>
        </xdr:nvSpPr>
        <xdr:spPr bwMode="auto">
          <a:xfrm rot="-10775089">
            <a:off x="2142" y="344"/>
            <a:ext cx="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3" name="Line 386">
            <a:extLst>
              <a:ext uri="{FF2B5EF4-FFF2-40B4-BE49-F238E27FC236}">
                <a16:creationId xmlns:a16="http://schemas.microsoft.com/office/drawing/2014/main" id="{00000000-0008-0000-0000-0000CF010000}"/>
              </a:ext>
            </a:extLst>
          </xdr:cNvPr>
          <xdr:cNvSpPr>
            <a:spLocks noChangeShapeType="1"/>
          </xdr:cNvSpPr>
        </xdr:nvSpPr>
        <xdr:spPr bwMode="auto">
          <a:xfrm rot="-10775089">
            <a:off x="2144" y="350"/>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 name="Line 387">
            <a:extLst>
              <a:ext uri="{FF2B5EF4-FFF2-40B4-BE49-F238E27FC236}">
                <a16:creationId xmlns:a16="http://schemas.microsoft.com/office/drawing/2014/main" id="{00000000-0008-0000-0000-0000D0010000}"/>
              </a:ext>
            </a:extLst>
          </xdr:cNvPr>
          <xdr:cNvSpPr>
            <a:spLocks noChangeShapeType="1"/>
          </xdr:cNvSpPr>
        </xdr:nvSpPr>
        <xdr:spPr bwMode="auto">
          <a:xfrm rot="10824911" flipV="1">
            <a:off x="2145" y="348"/>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5" name="Line 388">
            <a:extLst>
              <a:ext uri="{FF2B5EF4-FFF2-40B4-BE49-F238E27FC236}">
                <a16:creationId xmlns:a16="http://schemas.microsoft.com/office/drawing/2014/main" id="{00000000-0008-0000-0000-0000D1010000}"/>
              </a:ext>
            </a:extLst>
          </xdr:cNvPr>
          <xdr:cNvSpPr>
            <a:spLocks noChangeShapeType="1"/>
          </xdr:cNvSpPr>
        </xdr:nvSpPr>
        <xdr:spPr bwMode="auto">
          <a:xfrm rot="10824911" flipV="1">
            <a:off x="2139" y="340"/>
            <a:ext cx="1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6" name="Line 389">
            <a:extLst>
              <a:ext uri="{FF2B5EF4-FFF2-40B4-BE49-F238E27FC236}">
                <a16:creationId xmlns:a16="http://schemas.microsoft.com/office/drawing/2014/main" id="{00000000-0008-0000-0000-0000D2010000}"/>
              </a:ext>
            </a:extLst>
          </xdr:cNvPr>
          <xdr:cNvSpPr>
            <a:spLocks noChangeShapeType="1"/>
          </xdr:cNvSpPr>
        </xdr:nvSpPr>
        <xdr:spPr bwMode="auto">
          <a:xfrm rot="-10775089">
            <a:off x="2145" y="334"/>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7" name="Line 390">
            <a:extLst>
              <a:ext uri="{FF2B5EF4-FFF2-40B4-BE49-F238E27FC236}">
                <a16:creationId xmlns:a16="http://schemas.microsoft.com/office/drawing/2014/main" id="{00000000-0008-0000-0000-0000D3010000}"/>
              </a:ext>
            </a:extLst>
          </xdr:cNvPr>
          <xdr:cNvSpPr>
            <a:spLocks noChangeShapeType="1"/>
          </xdr:cNvSpPr>
        </xdr:nvSpPr>
        <xdr:spPr bwMode="auto">
          <a:xfrm rot="10824911" flipV="1">
            <a:off x="2144" y="342"/>
            <a:ext cx="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8" name="Line 391">
            <a:extLst>
              <a:ext uri="{FF2B5EF4-FFF2-40B4-BE49-F238E27FC236}">
                <a16:creationId xmlns:a16="http://schemas.microsoft.com/office/drawing/2014/main" id="{00000000-0008-0000-0000-0000D4010000}"/>
              </a:ext>
            </a:extLst>
          </xdr:cNvPr>
          <xdr:cNvSpPr>
            <a:spLocks noChangeShapeType="1"/>
          </xdr:cNvSpPr>
        </xdr:nvSpPr>
        <xdr:spPr bwMode="auto">
          <a:xfrm rot="-10775089">
            <a:off x="2145" y="336"/>
            <a:ext cx="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9" name="Line 392">
            <a:extLst>
              <a:ext uri="{FF2B5EF4-FFF2-40B4-BE49-F238E27FC236}">
                <a16:creationId xmlns:a16="http://schemas.microsoft.com/office/drawing/2014/main" id="{00000000-0008-0000-0000-0000D5010000}"/>
              </a:ext>
            </a:extLst>
          </xdr:cNvPr>
          <xdr:cNvSpPr>
            <a:spLocks noChangeShapeType="1"/>
          </xdr:cNvSpPr>
        </xdr:nvSpPr>
        <xdr:spPr bwMode="auto">
          <a:xfrm rot="-10775089">
            <a:off x="2145" y="328"/>
            <a:ext cx="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0" name="Line 393">
            <a:extLst>
              <a:ext uri="{FF2B5EF4-FFF2-40B4-BE49-F238E27FC236}">
                <a16:creationId xmlns:a16="http://schemas.microsoft.com/office/drawing/2014/main" id="{00000000-0008-0000-0000-0000D6010000}"/>
              </a:ext>
            </a:extLst>
          </xdr:cNvPr>
          <xdr:cNvSpPr>
            <a:spLocks noChangeShapeType="1"/>
          </xdr:cNvSpPr>
        </xdr:nvSpPr>
        <xdr:spPr bwMode="auto">
          <a:xfrm rot="-10775089">
            <a:off x="2145" y="326"/>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1" name="Line 394">
            <a:extLst>
              <a:ext uri="{FF2B5EF4-FFF2-40B4-BE49-F238E27FC236}">
                <a16:creationId xmlns:a16="http://schemas.microsoft.com/office/drawing/2014/main" id="{00000000-0008-0000-0000-0000D7010000}"/>
              </a:ext>
            </a:extLst>
          </xdr:cNvPr>
          <xdr:cNvSpPr>
            <a:spLocks noChangeShapeType="1"/>
          </xdr:cNvSpPr>
        </xdr:nvSpPr>
        <xdr:spPr bwMode="auto">
          <a:xfrm rot="10824911" flipV="1">
            <a:off x="2145" y="332"/>
            <a:ext cx="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2" name="Line 395">
            <a:extLst>
              <a:ext uri="{FF2B5EF4-FFF2-40B4-BE49-F238E27FC236}">
                <a16:creationId xmlns:a16="http://schemas.microsoft.com/office/drawing/2014/main" id="{00000000-0008-0000-0000-0000D8010000}"/>
              </a:ext>
            </a:extLst>
          </xdr:cNvPr>
          <xdr:cNvSpPr>
            <a:spLocks noChangeShapeType="1"/>
          </xdr:cNvSpPr>
        </xdr:nvSpPr>
        <xdr:spPr bwMode="auto">
          <a:xfrm rot="10824911" flipV="1">
            <a:off x="2143" y="330"/>
            <a:ext cx="1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3" name="Line 396">
            <a:extLst>
              <a:ext uri="{FF2B5EF4-FFF2-40B4-BE49-F238E27FC236}">
                <a16:creationId xmlns:a16="http://schemas.microsoft.com/office/drawing/2014/main" id="{00000000-0008-0000-0000-0000D9010000}"/>
              </a:ext>
            </a:extLst>
          </xdr:cNvPr>
          <xdr:cNvSpPr>
            <a:spLocks noChangeShapeType="1"/>
          </xdr:cNvSpPr>
        </xdr:nvSpPr>
        <xdr:spPr bwMode="auto">
          <a:xfrm rot="-10775089">
            <a:off x="2145" y="322"/>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4" name="Line 397">
            <a:extLst>
              <a:ext uri="{FF2B5EF4-FFF2-40B4-BE49-F238E27FC236}">
                <a16:creationId xmlns:a16="http://schemas.microsoft.com/office/drawing/2014/main" id="{00000000-0008-0000-0000-0000DA010000}"/>
              </a:ext>
            </a:extLst>
          </xdr:cNvPr>
          <xdr:cNvSpPr>
            <a:spLocks noChangeShapeType="1"/>
          </xdr:cNvSpPr>
        </xdr:nvSpPr>
        <xdr:spPr bwMode="auto">
          <a:xfrm rot="-10775089">
            <a:off x="2145" y="324"/>
            <a:ext cx="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5" name="Line 398">
            <a:extLst>
              <a:ext uri="{FF2B5EF4-FFF2-40B4-BE49-F238E27FC236}">
                <a16:creationId xmlns:a16="http://schemas.microsoft.com/office/drawing/2014/main" id="{00000000-0008-0000-0000-0000DB010000}"/>
              </a:ext>
            </a:extLst>
          </xdr:cNvPr>
          <xdr:cNvSpPr>
            <a:spLocks noChangeShapeType="1"/>
          </xdr:cNvSpPr>
        </xdr:nvSpPr>
        <xdr:spPr bwMode="auto">
          <a:xfrm rot="-10775089">
            <a:off x="2145" y="320"/>
            <a:ext cx="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476" name="Group 399">
            <a:extLst>
              <a:ext uri="{FF2B5EF4-FFF2-40B4-BE49-F238E27FC236}">
                <a16:creationId xmlns:a16="http://schemas.microsoft.com/office/drawing/2014/main" id="{00000000-0008-0000-0000-0000DC010000}"/>
              </a:ext>
            </a:extLst>
          </xdr:cNvPr>
          <xdr:cNvGrpSpPr>
            <a:grpSpLocks/>
          </xdr:cNvGrpSpPr>
        </xdr:nvGrpSpPr>
        <xdr:grpSpPr bwMode="auto">
          <a:xfrm>
            <a:off x="2125" y="318"/>
            <a:ext cx="3" cy="34"/>
            <a:chOff x="2122" y="253"/>
            <a:chExt cx="3" cy="34"/>
          </a:xfrm>
        </xdr:grpSpPr>
        <xdr:sp macro="" textlink="">
          <xdr:nvSpPr>
            <xdr:cNvPr id="498" name="AutoShape 400">
              <a:extLst>
                <a:ext uri="{FF2B5EF4-FFF2-40B4-BE49-F238E27FC236}">
                  <a16:creationId xmlns:a16="http://schemas.microsoft.com/office/drawing/2014/main" id="{00000000-0008-0000-0000-0000F2010000}"/>
                </a:ext>
              </a:extLst>
            </xdr:cNvPr>
            <xdr:cNvSpPr>
              <a:spLocks noChangeArrowheads="1"/>
            </xdr:cNvSpPr>
          </xdr:nvSpPr>
          <xdr:spPr bwMode="auto">
            <a:xfrm rot="-9932" flipH="1" flipV="1">
              <a:off x="2122" y="253"/>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99" name="AutoShape 401">
              <a:extLst>
                <a:ext uri="{FF2B5EF4-FFF2-40B4-BE49-F238E27FC236}">
                  <a16:creationId xmlns:a16="http://schemas.microsoft.com/office/drawing/2014/main" id="{00000000-0008-0000-0000-0000F3010000}"/>
                </a:ext>
              </a:extLst>
            </xdr:cNvPr>
            <xdr:cNvSpPr>
              <a:spLocks noChangeArrowheads="1"/>
            </xdr:cNvSpPr>
          </xdr:nvSpPr>
          <xdr:spPr bwMode="auto">
            <a:xfrm rot="-9932" flipH="1" flipV="1">
              <a:off x="2122" y="257"/>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500" name="AutoShape 402">
              <a:extLst>
                <a:ext uri="{FF2B5EF4-FFF2-40B4-BE49-F238E27FC236}">
                  <a16:creationId xmlns:a16="http://schemas.microsoft.com/office/drawing/2014/main" id="{00000000-0008-0000-0000-0000F4010000}"/>
                </a:ext>
              </a:extLst>
            </xdr:cNvPr>
            <xdr:cNvSpPr>
              <a:spLocks noChangeArrowheads="1"/>
            </xdr:cNvSpPr>
          </xdr:nvSpPr>
          <xdr:spPr bwMode="auto">
            <a:xfrm rot="-9932" flipH="1" flipV="1">
              <a:off x="2122" y="261"/>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501" name="AutoShape 403">
              <a:extLst>
                <a:ext uri="{FF2B5EF4-FFF2-40B4-BE49-F238E27FC236}">
                  <a16:creationId xmlns:a16="http://schemas.microsoft.com/office/drawing/2014/main" id="{00000000-0008-0000-0000-0000F5010000}"/>
                </a:ext>
              </a:extLst>
            </xdr:cNvPr>
            <xdr:cNvSpPr>
              <a:spLocks noChangeArrowheads="1"/>
            </xdr:cNvSpPr>
          </xdr:nvSpPr>
          <xdr:spPr bwMode="auto">
            <a:xfrm rot="-9932" flipH="1" flipV="1">
              <a:off x="2122" y="265"/>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502" name="AutoShape 404">
              <a:extLst>
                <a:ext uri="{FF2B5EF4-FFF2-40B4-BE49-F238E27FC236}">
                  <a16:creationId xmlns:a16="http://schemas.microsoft.com/office/drawing/2014/main" id="{00000000-0008-0000-0000-0000F6010000}"/>
                </a:ext>
              </a:extLst>
            </xdr:cNvPr>
            <xdr:cNvSpPr>
              <a:spLocks noChangeArrowheads="1"/>
            </xdr:cNvSpPr>
          </xdr:nvSpPr>
          <xdr:spPr bwMode="auto">
            <a:xfrm rot="-9932" flipH="1" flipV="1">
              <a:off x="2122" y="269"/>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503" name="AutoShape 405">
              <a:extLst>
                <a:ext uri="{FF2B5EF4-FFF2-40B4-BE49-F238E27FC236}">
                  <a16:creationId xmlns:a16="http://schemas.microsoft.com/office/drawing/2014/main" id="{00000000-0008-0000-0000-0000F7010000}"/>
                </a:ext>
              </a:extLst>
            </xdr:cNvPr>
            <xdr:cNvSpPr>
              <a:spLocks noChangeArrowheads="1"/>
            </xdr:cNvSpPr>
          </xdr:nvSpPr>
          <xdr:spPr bwMode="auto">
            <a:xfrm rot="-9932" flipH="1" flipV="1">
              <a:off x="2122" y="284"/>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504" name="AutoShape 406">
              <a:extLst>
                <a:ext uri="{FF2B5EF4-FFF2-40B4-BE49-F238E27FC236}">
                  <a16:creationId xmlns:a16="http://schemas.microsoft.com/office/drawing/2014/main" id="{00000000-0008-0000-0000-0000F8010000}"/>
                </a:ext>
              </a:extLst>
            </xdr:cNvPr>
            <xdr:cNvSpPr>
              <a:spLocks noChangeArrowheads="1"/>
            </xdr:cNvSpPr>
          </xdr:nvSpPr>
          <xdr:spPr bwMode="auto">
            <a:xfrm rot="-9932" flipH="1" flipV="1">
              <a:off x="2122" y="273"/>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505" name="AutoShape 407">
              <a:extLst>
                <a:ext uri="{FF2B5EF4-FFF2-40B4-BE49-F238E27FC236}">
                  <a16:creationId xmlns:a16="http://schemas.microsoft.com/office/drawing/2014/main" id="{00000000-0008-0000-0000-0000F9010000}"/>
                </a:ext>
              </a:extLst>
            </xdr:cNvPr>
            <xdr:cNvSpPr>
              <a:spLocks noChangeArrowheads="1"/>
            </xdr:cNvSpPr>
          </xdr:nvSpPr>
          <xdr:spPr bwMode="auto">
            <a:xfrm rot="-9932" flipH="1" flipV="1">
              <a:off x="2122" y="277"/>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506" name="AutoShape 408">
              <a:extLst>
                <a:ext uri="{FF2B5EF4-FFF2-40B4-BE49-F238E27FC236}">
                  <a16:creationId xmlns:a16="http://schemas.microsoft.com/office/drawing/2014/main" id="{00000000-0008-0000-0000-0000FA010000}"/>
                </a:ext>
              </a:extLst>
            </xdr:cNvPr>
            <xdr:cNvSpPr>
              <a:spLocks noChangeArrowheads="1"/>
            </xdr:cNvSpPr>
          </xdr:nvSpPr>
          <xdr:spPr bwMode="auto">
            <a:xfrm rot="-9932" flipH="1" flipV="1">
              <a:off x="2122" y="281"/>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grpSp>
      <xdr:grpSp>
        <xdr:nvGrpSpPr>
          <xdr:cNvPr id="477" name="Group 409">
            <a:extLst>
              <a:ext uri="{FF2B5EF4-FFF2-40B4-BE49-F238E27FC236}">
                <a16:creationId xmlns:a16="http://schemas.microsoft.com/office/drawing/2014/main" id="{00000000-0008-0000-0000-0000DD010000}"/>
              </a:ext>
            </a:extLst>
          </xdr:cNvPr>
          <xdr:cNvGrpSpPr>
            <a:grpSpLocks/>
          </xdr:cNvGrpSpPr>
        </xdr:nvGrpSpPr>
        <xdr:grpSpPr bwMode="auto">
          <a:xfrm>
            <a:off x="2152" y="318"/>
            <a:ext cx="3" cy="34"/>
            <a:chOff x="2122" y="253"/>
            <a:chExt cx="3" cy="34"/>
          </a:xfrm>
        </xdr:grpSpPr>
        <xdr:sp macro="" textlink="">
          <xdr:nvSpPr>
            <xdr:cNvPr id="489" name="AutoShape 410">
              <a:extLst>
                <a:ext uri="{FF2B5EF4-FFF2-40B4-BE49-F238E27FC236}">
                  <a16:creationId xmlns:a16="http://schemas.microsoft.com/office/drawing/2014/main" id="{00000000-0008-0000-0000-0000E9010000}"/>
                </a:ext>
              </a:extLst>
            </xdr:cNvPr>
            <xdr:cNvSpPr>
              <a:spLocks noChangeArrowheads="1"/>
            </xdr:cNvSpPr>
          </xdr:nvSpPr>
          <xdr:spPr bwMode="auto">
            <a:xfrm rot="-9932" flipH="1" flipV="1">
              <a:off x="2122" y="253"/>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90" name="AutoShape 411">
              <a:extLst>
                <a:ext uri="{FF2B5EF4-FFF2-40B4-BE49-F238E27FC236}">
                  <a16:creationId xmlns:a16="http://schemas.microsoft.com/office/drawing/2014/main" id="{00000000-0008-0000-0000-0000EA010000}"/>
                </a:ext>
              </a:extLst>
            </xdr:cNvPr>
            <xdr:cNvSpPr>
              <a:spLocks noChangeArrowheads="1"/>
            </xdr:cNvSpPr>
          </xdr:nvSpPr>
          <xdr:spPr bwMode="auto">
            <a:xfrm rot="-9932" flipH="1" flipV="1">
              <a:off x="2122" y="257"/>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91" name="AutoShape 412">
              <a:extLst>
                <a:ext uri="{FF2B5EF4-FFF2-40B4-BE49-F238E27FC236}">
                  <a16:creationId xmlns:a16="http://schemas.microsoft.com/office/drawing/2014/main" id="{00000000-0008-0000-0000-0000EB010000}"/>
                </a:ext>
              </a:extLst>
            </xdr:cNvPr>
            <xdr:cNvSpPr>
              <a:spLocks noChangeArrowheads="1"/>
            </xdr:cNvSpPr>
          </xdr:nvSpPr>
          <xdr:spPr bwMode="auto">
            <a:xfrm rot="-9932" flipH="1" flipV="1">
              <a:off x="2122" y="261"/>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92" name="AutoShape 413">
              <a:extLst>
                <a:ext uri="{FF2B5EF4-FFF2-40B4-BE49-F238E27FC236}">
                  <a16:creationId xmlns:a16="http://schemas.microsoft.com/office/drawing/2014/main" id="{00000000-0008-0000-0000-0000EC010000}"/>
                </a:ext>
              </a:extLst>
            </xdr:cNvPr>
            <xdr:cNvSpPr>
              <a:spLocks noChangeArrowheads="1"/>
            </xdr:cNvSpPr>
          </xdr:nvSpPr>
          <xdr:spPr bwMode="auto">
            <a:xfrm rot="-9932" flipH="1" flipV="1">
              <a:off x="2122" y="265"/>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93" name="AutoShape 414">
              <a:extLst>
                <a:ext uri="{FF2B5EF4-FFF2-40B4-BE49-F238E27FC236}">
                  <a16:creationId xmlns:a16="http://schemas.microsoft.com/office/drawing/2014/main" id="{00000000-0008-0000-0000-0000ED010000}"/>
                </a:ext>
              </a:extLst>
            </xdr:cNvPr>
            <xdr:cNvSpPr>
              <a:spLocks noChangeArrowheads="1"/>
            </xdr:cNvSpPr>
          </xdr:nvSpPr>
          <xdr:spPr bwMode="auto">
            <a:xfrm rot="-9932" flipH="1" flipV="1">
              <a:off x="2122" y="269"/>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94" name="AutoShape 415">
              <a:extLst>
                <a:ext uri="{FF2B5EF4-FFF2-40B4-BE49-F238E27FC236}">
                  <a16:creationId xmlns:a16="http://schemas.microsoft.com/office/drawing/2014/main" id="{00000000-0008-0000-0000-0000EE010000}"/>
                </a:ext>
              </a:extLst>
            </xdr:cNvPr>
            <xdr:cNvSpPr>
              <a:spLocks noChangeArrowheads="1"/>
            </xdr:cNvSpPr>
          </xdr:nvSpPr>
          <xdr:spPr bwMode="auto">
            <a:xfrm rot="-9932" flipH="1" flipV="1">
              <a:off x="2122" y="284"/>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95" name="AutoShape 416">
              <a:extLst>
                <a:ext uri="{FF2B5EF4-FFF2-40B4-BE49-F238E27FC236}">
                  <a16:creationId xmlns:a16="http://schemas.microsoft.com/office/drawing/2014/main" id="{00000000-0008-0000-0000-0000EF010000}"/>
                </a:ext>
              </a:extLst>
            </xdr:cNvPr>
            <xdr:cNvSpPr>
              <a:spLocks noChangeArrowheads="1"/>
            </xdr:cNvSpPr>
          </xdr:nvSpPr>
          <xdr:spPr bwMode="auto">
            <a:xfrm rot="-9932" flipH="1" flipV="1">
              <a:off x="2122" y="273"/>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96" name="AutoShape 417">
              <a:extLst>
                <a:ext uri="{FF2B5EF4-FFF2-40B4-BE49-F238E27FC236}">
                  <a16:creationId xmlns:a16="http://schemas.microsoft.com/office/drawing/2014/main" id="{00000000-0008-0000-0000-0000F0010000}"/>
                </a:ext>
              </a:extLst>
            </xdr:cNvPr>
            <xdr:cNvSpPr>
              <a:spLocks noChangeArrowheads="1"/>
            </xdr:cNvSpPr>
          </xdr:nvSpPr>
          <xdr:spPr bwMode="auto">
            <a:xfrm rot="-9932" flipH="1" flipV="1">
              <a:off x="2122" y="277"/>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97" name="AutoShape 418">
              <a:extLst>
                <a:ext uri="{FF2B5EF4-FFF2-40B4-BE49-F238E27FC236}">
                  <a16:creationId xmlns:a16="http://schemas.microsoft.com/office/drawing/2014/main" id="{00000000-0008-0000-0000-0000F1010000}"/>
                </a:ext>
              </a:extLst>
            </xdr:cNvPr>
            <xdr:cNvSpPr>
              <a:spLocks noChangeArrowheads="1"/>
            </xdr:cNvSpPr>
          </xdr:nvSpPr>
          <xdr:spPr bwMode="auto">
            <a:xfrm rot="-9932" flipH="1" flipV="1">
              <a:off x="2122" y="281"/>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grpSp>
      <xdr:sp macro="" textlink="">
        <xdr:nvSpPr>
          <xdr:cNvPr id="478" name="AutoShape 419">
            <a:extLst>
              <a:ext uri="{FF2B5EF4-FFF2-40B4-BE49-F238E27FC236}">
                <a16:creationId xmlns:a16="http://schemas.microsoft.com/office/drawing/2014/main" id="{00000000-0008-0000-0000-0000DE010000}"/>
              </a:ext>
            </a:extLst>
          </xdr:cNvPr>
          <xdr:cNvSpPr>
            <a:spLocks noChangeArrowheads="1"/>
          </xdr:cNvSpPr>
        </xdr:nvSpPr>
        <xdr:spPr bwMode="auto">
          <a:xfrm rot="-9932" flipH="1" flipV="1">
            <a:off x="2160" y="318"/>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79" name="AutoShape 420">
            <a:extLst>
              <a:ext uri="{FF2B5EF4-FFF2-40B4-BE49-F238E27FC236}">
                <a16:creationId xmlns:a16="http://schemas.microsoft.com/office/drawing/2014/main" id="{00000000-0008-0000-0000-0000DF010000}"/>
              </a:ext>
            </a:extLst>
          </xdr:cNvPr>
          <xdr:cNvSpPr>
            <a:spLocks noChangeArrowheads="1"/>
          </xdr:cNvSpPr>
        </xdr:nvSpPr>
        <xdr:spPr bwMode="auto">
          <a:xfrm rot="-9932" flipH="1" flipV="1">
            <a:off x="2164" y="320"/>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80" name="AutoShape 421">
            <a:extLst>
              <a:ext uri="{FF2B5EF4-FFF2-40B4-BE49-F238E27FC236}">
                <a16:creationId xmlns:a16="http://schemas.microsoft.com/office/drawing/2014/main" id="{00000000-0008-0000-0000-0000E0010000}"/>
              </a:ext>
            </a:extLst>
          </xdr:cNvPr>
          <xdr:cNvSpPr>
            <a:spLocks noChangeArrowheads="1"/>
          </xdr:cNvSpPr>
        </xdr:nvSpPr>
        <xdr:spPr bwMode="auto">
          <a:xfrm rot="-9932" flipH="1" flipV="1">
            <a:off x="2160" y="323"/>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81" name="AutoShape 422">
            <a:extLst>
              <a:ext uri="{FF2B5EF4-FFF2-40B4-BE49-F238E27FC236}">
                <a16:creationId xmlns:a16="http://schemas.microsoft.com/office/drawing/2014/main" id="{00000000-0008-0000-0000-0000E1010000}"/>
              </a:ext>
            </a:extLst>
          </xdr:cNvPr>
          <xdr:cNvSpPr>
            <a:spLocks noChangeArrowheads="1"/>
          </xdr:cNvSpPr>
        </xdr:nvSpPr>
        <xdr:spPr bwMode="auto">
          <a:xfrm rot="-9932" flipH="1" flipV="1">
            <a:off x="2164" y="326"/>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82" name="AutoShape 423">
            <a:extLst>
              <a:ext uri="{FF2B5EF4-FFF2-40B4-BE49-F238E27FC236}">
                <a16:creationId xmlns:a16="http://schemas.microsoft.com/office/drawing/2014/main" id="{00000000-0008-0000-0000-0000E2010000}"/>
              </a:ext>
            </a:extLst>
          </xdr:cNvPr>
          <xdr:cNvSpPr>
            <a:spLocks noChangeArrowheads="1"/>
          </xdr:cNvSpPr>
        </xdr:nvSpPr>
        <xdr:spPr bwMode="auto">
          <a:xfrm rot="-9932" flipH="1" flipV="1">
            <a:off x="2160" y="329"/>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83" name="AutoShape 424">
            <a:extLst>
              <a:ext uri="{FF2B5EF4-FFF2-40B4-BE49-F238E27FC236}">
                <a16:creationId xmlns:a16="http://schemas.microsoft.com/office/drawing/2014/main" id="{00000000-0008-0000-0000-0000E3010000}"/>
              </a:ext>
            </a:extLst>
          </xdr:cNvPr>
          <xdr:cNvSpPr>
            <a:spLocks noChangeArrowheads="1"/>
          </xdr:cNvSpPr>
        </xdr:nvSpPr>
        <xdr:spPr bwMode="auto">
          <a:xfrm rot="-9932" flipH="1" flipV="1">
            <a:off x="2164" y="333"/>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84" name="AutoShape 425">
            <a:extLst>
              <a:ext uri="{FF2B5EF4-FFF2-40B4-BE49-F238E27FC236}">
                <a16:creationId xmlns:a16="http://schemas.microsoft.com/office/drawing/2014/main" id="{00000000-0008-0000-0000-0000E4010000}"/>
              </a:ext>
            </a:extLst>
          </xdr:cNvPr>
          <xdr:cNvSpPr>
            <a:spLocks noChangeArrowheads="1"/>
          </xdr:cNvSpPr>
        </xdr:nvSpPr>
        <xdr:spPr bwMode="auto">
          <a:xfrm rot="-9932" flipH="1" flipV="1">
            <a:off x="2160" y="336"/>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85" name="AutoShape 426">
            <a:extLst>
              <a:ext uri="{FF2B5EF4-FFF2-40B4-BE49-F238E27FC236}">
                <a16:creationId xmlns:a16="http://schemas.microsoft.com/office/drawing/2014/main" id="{00000000-0008-0000-0000-0000E5010000}"/>
              </a:ext>
            </a:extLst>
          </xdr:cNvPr>
          <xdr:cNvSpPr>
            <a:spLocks noChangeArrowheads="1"/>
          </xdr:cNvSpPr>
        </xdr:nvSpPr>
        <xdr:spPr bwMode="auto">
          <a:xfrm rot="-9932" flipH="1" flipV="1">
            <a:off x="2164" y="339"/>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86" name="AutoShape 427">
            <a:extLst>
              <a:ext uri="{FF2B5EF4-FFF2-40B4-BE49-F238E27FC236}">
                <a16:creationId xmlns:a16="http://schemas.microsoft.com/office/drawing/2014/main" id="{00000000-0008-0000-0000-0000E6010000}"/>
              </a:ext>
            </a:extLst>
          </xdr:cNvPr>
          <xdr:cNvSpPr>
            <a:spLocks noChangeArrowheads="1"/>
          </xdr:cNvSpPr>
        </xdr:nvSpPr>
        <xdr:spPr bwMode="auto">
          <a:xfrm rot="-9932" flipH="1" flipV="1">
            <a:off x="2160" y="342"/>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87" name="AutoShape 428">
            <a:extLst>
              <a:ext uri="{FF2B5EF4-FFF2-40B4-BE49-F238E27FC236}">
                <a16:creationId xmlns:a16="http://schemas.microsoft.com/office/drawing/2014/main" id="{00000000-0008-0000-0000-0000E7010000}"/>
              </a:ext>
            </a:extLst>
          </xdr:cNvPr>
          <xdr:cNvSpPr>
            <a:spLocks noChangeArrowheads="1"/>
          </xdr:cNvSpPr>
        </xdr:nvSpPr>
        <xdr:spPr bwMode="auto">
          <a:xfrm rot="-9932" flipH="1" flipV="1">
            <a:off x="2164" y="345"/>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sp macro="" textlink="">
        <xdr:nvSpPr>
          <xdr:cNvPr id="488" name="AutoShape 429">
            <a:extLst>
              <a:ext uri="{FF2B5EF4-FFF2-40B4-BE49-F238E27FC236}">
                <a16:creationId xmlns:a16="http://schemas.microsoft.com/office/drawing/2014/main" id="{00000000-0008-0000-0000-0000E8010000}"/>
              </a:ext>
            </a:extLst>
          </xdr:cNvPr>
          <xdr:cNvSpPr>
            <a:spLocks noChangeArrowheads="1"/>
          </xdr:cNvSpPr>
        </xdr:nvSpPr>
        <xdr:spPr bwMode="auto">
          <a:xfrm rot="-9932" flipH="1" flipV="1">
            <a:off x="2160" y="347"/>
            <a:ext cx="3" cy="3"/>
          </a:xfrm>
          <a:prstGeom prst="flowChartConnector">
            <a:avLst/>
          </a:prstGeom>
          <a:gradFill rotWithShape="0">
            <a:gsLst>
              <a:gs pos="0">
                <a:srgbClr val="AF0000"/>
              </a:gs>
              <a:gs pos="50000">
                <a:srgbClr val="FF0000"/>
              </a:gs>
              <a:gs pos="100000">
                <a:srgbClr val="AF0000"/>
              </a:gs>
            </a:gsLst>
            <a:lin ang="0" scaled="1"/>
          </a:gradFill>
          <a:ln w="9525">
            <a:solidFill>
              <a:srgbClr val="000000"/>
            </a:solidFill>
            <a:round/>
            <a:headEnd/>
            <a:tailEnd/>
          </a:ln>
        </xdr:spPr>
      </xdr:sp>
    </xdr:grpSp>
    <xdr:clientData/>
  </xdr:twoCellAnchor>
  <xdr:twoCellAnchor>
    <xdr:from>
      <xdr:col>0</xdr:col>
      <xdr:colOff>200025</xdr:colOff>
      <xdr:row>15</xdr:row>
      <xdr:rowOff>133350</xdr:rowOff>
    </xdr:from>
    <xdr:to>
      <xdr:col>0</xdr:col>
      <xdr:colOff>809625</xdr:colOff>
      <xdr:row>16</xdr:row>
      <xdr:rowOff>180975</xdr:rowOff>
    </xdr:to>
    <xdr:grpSp>
      <xdr:nvGrpSpPr>
        <xdr:cNvPr id="507" name="Group 511">
          <a:extLst>
            <a:ext uri="{FF2B5EF4-FFF2-40B4-BE49-F238E27FC236}">
              <a16:creationId xmlns:a16="http://schemas.microsoft.com/office/drawing/2014/main" id="{00000000-0008-0000-0000-0000FB010000}"/>
            </a:ext>
          </a:extLst>
        </xdr:cNvPr>
        <xdr:cNvGrpSpPr>
          <a:grpSpLocks/>
        </xdr:cNvGrpSpPr>
      </xdr:nvGrpSpPr>
      <xdr:grpSpPr bwMode="auto">
        <a:xfrm rot="16200000" flipH="1">
          <a:off x="400050" y="2590800"/>
          <a:ext cx="209550" cy="609600"/>
          <a:chOff x="1982" y="301"/>
          <a:chExt cx="33" cy="35"/>
        </a:xfrm>
      </xdr:grpSpPr>
      <xdr:sp macro="" textlink="">
        <xdr:nvSpPr>
          <xdr:cNvPr id="508" name="Rectangle 512">
            <a:extLst>
              <a:ext uri="{FF2B5EF4-FFF2-40B4-BE49-F238E27FC236}">
                <a16:creationId xmlns:a16="http://schemas.microsoft.com/office/drawing/2014/main" id="{00000000-0008-0000-0000-0000FC010000}"/>
              </a:ext>
            </a:extLst>
          </xdr:cNvPr>
          <xdr:cNvSpPr>
            <a:spLocks noChangeArrowheads="1"/>
          </xdr:cNvSpPr>
        </xdr:nvSpPr>
        <xdr:spPr bwMode="auto">
          <a:xfrm rot="-9932">
            <a:off x="1982" y="301"/>
            <a:ext cx="33" cy="35"/>
          </a:xfrm>
          <a:prstGeom prst="rect">
            <a:avLst/>
          </a:prstGeom>
          <a:gradFill rotWithShape="0">
            <a:gsLst>
              <a:gs pos="0">
                <a:srgbClr val="A20000"/>
              </a:gs>
              <a:gs pos="50000">
                <a:srgbClr val="FF0000"/>
              </a:gs>
              <a:gs pos="100000">
                <a:srgbClr val="A20000"/>
              </a:gs>
            </a:gsLst>
            <a:lin ang="0" scaled="1"/>
          </a:gradFill>
          <a:ln w="9525">
            <a:solidFill>
              <a:srgbClr val="000000"/>
            </a:solidFill>
            <a:miter lim="800000"/>
            <a:headEnd/>
            <a:tailEnd/>
          </a:ln>
        </xdr:spPr>
      </xdr:sp>
      <xdr:sp macro="" textlink="">
        <xdr:nvSpPr>
          <xdr:cNvPr id="509" name="AutoShape 513">
            <a:extLst>
              <a:ext uri="{FF2B5EF4-FFF2-40B4-BE49-F238E27FC236}">
                <a16:creationId xmlns:a16="http://schemas.microsoft.com/office/drawing/2014/main" id="{00000000-0008-0000-0000-0000FD010000}"/>
              </a:ext>
            </a:extLst>
          </xdr:cNvPr>
          <xdr:cNvSpPr>
            <a:spLocks noChangeArrowheads="1"/>
          </xdr:cNvSpPr>
        </xdr:nvSpPr>
        <xdr:spPr bwMode="auto">
          <a:xfrm rot="-9932" flipH="1" flipV="1">
            <a:off x="1997" y="317"/>
            <a:ext cx="3" cy="3"/>
          </a:xfrm>
          <a:prstGeom prst="flowChartConnector">
            <a:avLst/>
          </a:prstGeom>
          <a:gradFill rotWithShape="0">
            <a:gsLst>
              <a:gs pos="0">
                <a:srgbClr val="A20000"/>
              </a:gs>
              <a:gs pos="50000">
                <a:srgbClr val="FF0000"/>
              </a:gs>
              <a:gs pos="100000">
                <a:srgbClr val="A20000"/>
              </a:gs>
            </a:gsLst>
            <a:lin ang="0" scaled="1"/>
          </a:gradFill>
          <a:ln w="9525">
            <a:solidFill>
              <a:srgbClr val="000000"/>
            </a:solidFill>
            <a:round/>
            <a:headEnd/>
            <a:tailEnd/>
          </a:ln>
        </xdr:spPr>
      </xdr:sp>
      <xdr:sp macro="" textlink="">
        <xdr:nvSpPr>
          <xdr:cNvPr id="510" name="Oval 514">
            <a:extLst>
              <a:ext uri="{FF2B5EF4-FFF2-40B4-BE49-F238E27FC236}">
                <a16:creationId xmlns:a16="http://schemas.microsoft.com/office/drawing/2014/main" id="{00000000-0008-0000-0000-0000FE010000}"/>
              </a:ext>
            </a:extLst>
          </xdr:cNvPr>
          <xdr:cNvSpPr>
            <a:spLocks noChangeArrowheads="1"/>
          </xdr:cNvSpPr>
        </xdr:nvSpPr>
        <xdr:spPr bwMode="auto">
          <a:xfrm rot="-9932">
            <a:off x="1991" y="312"/>
            <a:ext cx="15" cy="13"/>
          </a:xfrm>
          <a:prstGeom prst="ellipse">
            <a:avLst/>
          </a:prstGeom>
          <a:gradFill rotWithShape="0">
            <a:gsLst>
              <a:gs pos="0">
                <a:srgbClr val="A20000"/>
              </a:gs>
              <a:gs pos="50000">
                <a:srgbClr val="FF0000"/>
              </a:gs>
              <a:gs pos="100000">
                <a:srgbClr val="A20000"/>
              </a:gs>
            </a:gsLst>
            <a:lin ang="0" scaled="1"/>
          </a:gradFill>
          <a:ln w="9525">
            <a:solidFill>
              <a:srgbClr val="000000"/>
            </a:solidFill>
            <a:round/>
            <a:headEnd/>
            <a:tailEnd/>
          </a:ln>
        </xdr:spPr>
      </xdr:sp>
      <xdr:sp macro="" textlink="">
        <xdr:nvSpPr>
          <xdr:cNvPr id="511" name="AutoShape 515">
            <a:extLst>
              <a:ext uri="{FF2B5EF4-FFF2-40B4-BE49-F238E27FC236}">
                <a16:creationId xmlns:a16="http://schemas.microsoft.com/office/drawing/2014/main" id="{00000000-0008-0000-0000-0000FF010000}"/>
              </a:ext>
            </a:extLst>
          </xdr:cNvPr>
          <xdr:cNvSpPr>
            <a:spLocks noChangeArrowheads="1"/>
          </xdr:cNvSpPr>
        </xdr:nvSpPr>
        <xdr:spPr bwMode="auto">
          <a:xfrm rot="-9932">
            <a:off x="1987" y="317"/>
            <a:ext cx="23" cy="4"/>
          </a:xfrm>
          <a:prstGeom prst="flowChartTerminator">
            <a:avLst/>
          </a:prstGeom>
          <a:gradFill rotWithShape="0">
            <a:gsLst>
              <a:gs pos="0">
                <a:srgbClr val="A20000"/>
              </a:gs>
              <a:gs pos="50000">
                <a:srgbClr val="FF0000"/>
              </a:gs>
              <a:gs pos="100000">
                <a:srgbClr val="A20000"/>
              </a:gs>
            </a:gsLst>
            <a:lin ang="0" scaled="1"/>
          </a:gradFill>
          <a:ln w="9525">
            <a:solidFill>
              <a:srgbClr val="000000"/>
            </a:solidFill>
            <a:miter lim="800000"/>
            <a:headEnd/>
            <a:tailEnd/>
          </a:ln>
        </xdr:spPr>
      </xdr:sp>
      <xdr:sp macro="" textlink="">
        <xdr:nvSpPr>
          <xdr:cNvPr id="512" name="AutoShape 516">
            <a:extLst>
              <a:ext uri="{FF2B5EF4-FFF2-40B4-BE49-F238E27FC236}">
                <a16:creationId xmlns:a16="http://schemas.microsoft.com/office/drawing/2014/main" id="{00000000-0008-0000-0000-000000020000}"/>
              </a:ext>
            </a:extLst>
          </xdr:cNvPr>
          <xdr:cNvSpPr>
            <a:spLocks noChangeArrowheads="1"/>
          </xdr:cNvSpPr>
        </xdr:nvSpPr>
        <xdr:spPr bwMode="auto">
          <a:xfrm rot="-9932" flipH="1" flipV="1">
            <a:off x="1997" y="313"/>
            <a:ext cx="3" cy="3"/>
          </a:xfrm>
          <a:prstGeom prst="flowChartConnector">
            <a:avLst/>
          </a:prstGeom>
          <a:gradFill rotWithShape="0">
            <a:gsLst>
              <a:gs pos="0">
                <a:srgbClr val="A20000"/>
              </a:gs>
              <a:gs pos="50000">
                <a:srgbClr val="FF0000"/>
              </a:gs>
              <a:gs pos="100000">
                <a:srgbClr val="A20000"/>
              </a:gs>
            </a:gsLst>
            <a:lin ang="0" scaled="1"/>
          </a:gradFill>
          <a:ln w="9525">
            <a:solidFill>
              <a:srgbClr val="000000"/>
            </a:solidFill>
            <a:round/>
            <a:headEnd/>
            <a:tailEnd/>
          </a:ln>
        </xdr:spPr>
      </xdr:sp>
      <xdr:sp macro="" textlink="">
        <xdr:nvSpPr>
          <xdr:cNvPr id="513" name="AutoShape 517">
            <a:extLst>
              <a:ext uri="{FF2B5EF4-FFF2-40B4-BE49-F238E27FC236}">
                <a16:creationId xmlns:a16="http://schemas.microsoft.com/office/drawing/2014/main" id="{00000000-0008-0000-0000-000001020000}"/>
              </a:ext>
            </a:extLst>
          </xdr:cNvPr>
          <xdr:cNvSpPr>
            <a:spLocks noChangeArrowheads="1"/>
          </xdr:cNvSpPr>
        </xdr:nvSpPr>
        <xdr:spPr bwMode="auto">
          <a:xfrm rot="-9932" flipH="1" flipV="1">
            <a:off x="2000" y="313"/>
            <a:ext cx="3" cy="3"/>
          </a:xfrm>
          <a:prstGeom prst="flowChartConnector">
            <a:avLst/>
          </a:prstGeom>
          <a:gradFill rotWithShape="0">
            <a:gsLst>
              <a:gs pos="0">
                <a:srgbClr val="A20000"/>
              </a:gs>
              <a:gs pos="50000">
                <a:srgbClr val="FF0000"/>
              </a:gs>
              <a:gs pos="100000">
                <a:srgbClr val="A20000"/>
              </a:gs>
            </a:gsLst>
            <a:lin ang="0" scaled="1"/>
          </a:gradFill>
          <a:ln w="9525">
            <a:solidFill>
              <a:srgbClr val="000000"/>
            </a:solidFill>
            <a:round/>
            <a:headEnd/>
            <a:tailEnd/>
          </a:ln>
        </xdr:spPr>
      </xdr:sp>
      <xdr:sp macro="" textlink="">
        <xdr:nvSpPr>
          <xdr:cNvPr id="514" name="AutoShape 518">
            <a:extLst>
              <a:ext uri="{FF2B5EF4-FFF2-40B4-BE49-F238E27FC236}">
                <a16:creationId xmlns:a16="http://schemas.microsoft.com/office/drawing/2014/main" id="{00000000-0008-0000-0000-000002020000}"/>
              </a:ext>
            </a:extLst>
          </xdr:cNvPr>
          <xdr:cNvSpPr>
            <a:spLocks noChangeArrowheads="1"/>
          </xdr:cNvSpPr>
        </xdr:nvSpPr>
        <xdr:spPr bwMode="auto">
          <a:xfrm rot="-9932" flipH="1" flipV="1">
            <a:off x="1997" y="321"/>
            <a:ext cx="3" cy="3"/>
          </a:xfrm>
          <a:prstGeom prst="flowChartConnector">
            <a:avLst/>
          </a:prstGeom>
          <a:gradFill rotWithShape="0">
            <a:gsLst>
              <a:gs pos="0">
                <a:srgbClr val="A20000"/>
              </a:gs>
              <a:gs pos="50000">
                <a:srgbClr val="FF0000"/>
              </a:gs>
              <a:gs pos="100000">
                <a:srgbClr val="A20000"/>
              </a:gs>
            </a:gsLst>
            <a:lin ang="0" scaled="1"/>
          </a:gradFill>
          <a:ln w="9525">
            <a:solidFill>
              <a:srgbClr val="000000"/>
            </a:solidFill>
            <a:round/>
            <a:headEnd/>
            <a:tailEnd/>
          </a:ln>
        </xdr:spPr>
      </xdr:sp>
      <xdr:sp macro="" textlink="">
        <xdr:nvSpPr>
          <xdr:cNvPr id="515" name="AutoShape 519">
            <a:extLst>
              <a:ext uri="{FF2B5EF4-FFF2-40B4-BE49-F238E27FC236}">
                <a16:creationId xmlns:a16="http://schemas.microsoft.com/office/drawing/2014/main" id="{00000000-0008-0000-0000-000003020000}"/>
              </a:ext>
            </a:extLst>
          </xdr:cNvPr>
          <xdr:cNvSpPr>
            <a:spLocks noChangeArrowheads="1"/>
          </xdr:cNvSpPr>
        </xdr:nvSpPr>
        <xdr:spPr bwMode="auto">
          <a:xfrm rot="-9932" flipH="1" flipV="1">
            <a:off x="1994" y="313"/>
            <a:ext cx="3" cy="3"/>
          </a:xfrm>
          <a:prstGeom prst="flowChartConnector">
            <a:avLst/>
          </a:prstGeom>
          <a:gradFill rotWithShape="0">
            <a:gsLst>
              <a:gs pos="0">
                <a:srgbClr val="A20000"/>
              </a:gs>
              <a:gs pos="50000">
                <a:srgbClr val="FF0000"/>
              </a:gs>
              <a:gs pos="100000">
                <a:srgbClr val="A20000"/>
              </a:gs>
            </a:gsLst>
            <a:lin ang="0" scaled="1"/>
          </a:gradFill>
          <a:ln w="9525">
            <a:solidFill>
              <a:srgbClr val="000000"/>
            </a:solidFill>
            <a:round/>
            <a:headEnd/>
            <a:tailEnd/>
          </a:ln>
        </xdr:spPr>
      </xdr:sp>
      <xdr:sp macro="" textlink="">
        <xdr:nvSpPr>
          <xdr:cNvPr id="516" name="AutoShape 520">
            <a:extLst>
              <a:ext uri="{FF2B5EF4-FFF2-40B4-BE49-F238E27FC236}">
                <a16:creationId xmlns:a16="http://schemas.microsoft.com/office/drawing/2014/main" id="{00000000-0008-0000-0000-000004020000}"/>
              </a:ext>
            </a:extLst>
          </xdr:cNvPr>
          <xdr:cNvSpPr>
            <a:spLocks noChangeArrowheads="1"/>
          </xdr:cNvSpPr>
        </xdr:nvSpPr>
        <xdr:spPr bwMode="auto">
          <a:xfrm rot="-9932" flipH="1" flipV="1">
            <a:off x="2000" y="321"/>
            <a:ext cx="3" cy="3"/>
          </a:xfrm>
          <a:prstGeom prst="flowChartConnector">
            <a:avLst/>
          </a:prstGeom>
          <a:gradFill rotWithShape="0">
            <a:gsLst>
              <a:gs pos="0">
                <a:srgbClr val="A20000"/>
              </a:gs>
              <a:gs pos="50000">
                <a:srgbClr val="FF0000"/>
              </a:gs>
              <a:gs pos="100000">
                <a:srgbClr val="A20000"/>
              </a:gs>
            </a:gsLst>
            <a:lin ang="0" scaled="1"/>
          </a:gradFill>
          <a:ln w="9525">
            <a:solidFill>
              <a:srgbClr val="000000"/>
            </a:solidFill>
            <a:round/>
            <a:headEnd/>
            <a:tailEnd/>
          </a:ln>
        </xdr:spPr>
      </xdr:sp>
      <xdr:sp macro="" textlink="">
        <xdr:nvSpPr>
          <xdr:cNvPr id="517" name="AutoShape 521">
            <a:extLst>
              <a:ext uri="{FF2B5EF4-FFF2-40B4-BE49-F238E27FC236}">
                <a16:creationId xmlns:a16="http://schemas.microsoft.com/office/drawing/2014/main" id="{00000000-0008-0000-0000-000005020000}"/>
              </a:ext>
            </a:extLst>
          </xdr:cNvPr>
          <xdr:cNvSpPr>
            <a:spLocks noChangeArrowheads="1"/>
          </xdr:cNvSpPr>
        </xdr:nvSpPr>
        <xdr:spPr bwMode="auto">
          <a:xfrm rot="-9932" flipH="1" flipV="1">
            <a:off x="1994" y="321"/>
            <a:ext cx="3" cy="3"/>
          </a:xfrm>
          <a:prstGeom prst="flowChartConnector">
            <a:avLst/>
          </a:prstGeom>
          <a:gradFill rotWithShape="0">
            <a:gsLst>
              <a:gs pos="0">
                <a:srgbClr val="A20000"/>
              </a:gs>
              <a:gs pos="50000">
                <a:srgbClr val="FF0000"/>
              </a:gs>
              <a:gs pos="100000">
                <a:srgbClr val="A20000"/>
              </a:gs>
            </a:gsLst>
            <a:lin ang="0" scaled="1"/>
          </a:gradFill>
          <a:ln w="9525">
            <a:solidFill>
              <a:srgbClr val="000000"/>
            </a:solidFill>
            <a:round/>
            <a:headEnd/>
            <a:tailEnd/>
          </a:ln>
        </xdr:spPr>
      </xdr:sp>
      <xdr:sp macro="" textlink="">
        <xdr:nvSpPr>
          <xdr:cNvPr id="518" name="AutoShape 522">
            <a:extLst>
              <a:ext uri="{FF2B5EF4-FFF2-40B4-BE49-F238E27FC236}">
                <a16:creationId xmlns:a16="http://schemas.microsoft.com/office/drawing/2014/main" id="{00000000-0008-0000-0000-000006020000}"/>
              </a:ext>
            </a:extLst>
          </xdr:cNvPr>
          <xdr:cNvSpPr>
            <a:spLocks noChangeArrowheads="1"/>
          </xdr:cNvSpPr>
        </xdr:nvSpPr>
        <xdr:spPr bwMode="auto">
          <a:xfrm rot="-9932" flipH="1" flipV="1">
            <a:off x="1997" y="317"/>
            <a:ext cx="3" cy="3"/>
          </a:xfrm>
          <a:prstGeom prst="flowChartConnector">
            <a:avLst/>
          </a:prstGeom>
          <a:gradFill rotWithShape="0">
            <a:gsLst>
              <a:gs pos="0">
                <a:srgbClr val="A20000"/>
              </a:gs>
              <a:gs pos="50000">
                <a:srgbClr val="FF0000"/>
              </a:gs>
              <a:gs pos="100000">
                <a:srgbClr val="A20000"/>
              </a:gs>
            </a:gsLst>
            <a:lin ang="0" scaled="1"/>
          </a:gradFill>
          <a:ln w="9525">
            <a:solidFill>
              <a:srgbClr val="000000"/>
            </a:solidFill>
            <a:round/>
            <a:headEnd/>
            <a:tailEnd/>
          </a:ln>
        </xdr:spPr>
      </xdr:sp>
    </xdr:grpSp>
    <xdr:clientData/>
  </xdr:twoCellAnchor>
  <xdr:twoCellAnchor>
    <xdr:from>
      <xdr:col>0</xdr:col>
      <xdr:colOff>323850</xdr:colOff>
      <xdr:row>28</xdr:row>
      <xdr:rowOff>133350</xdr:rowOff>
    </xdr:from>
    <xdr:to>
      <xdr:col>0</xdr:col>
      <xdr:colOff>657225</xdr:colOff>
      <xdr:row>32</xdr:row>
      <xdr:rowOff>180975</xdr:rowOff>
    </xdr:to>
    <xdr:grpSp>
      <xdr:nvGrpSpPr>
        <xdr:cNvPr id="519" name="Group 523">
          <a:extLst>
            <a:ext uri="{FF2B5EF4-FFF2-40B4-BE49-F238E27FC236}">
              <a16:creationId xmlns:a16="http://schemas.microsoft.com/office/drawing/2014/main" id="{00000000-0008-0000-0000-000007020000}"/>
            </a:ext>
          </a:extLst>
        </xdr:cNvPr>
        <xdr:cNvGrpSpPr>
          <a:grpSpLocks/>
        </xdr:cNvGrpSpPr>
      </xdr:nvGrpSpPr>
      <xdr:grpSpPr bwMode="auto">
        <a:xfrm>
          <a:off x="323850" y="5353050"/>
          <a:ext cx="333375" cy="847725"/>
          <a:chOff x="34" y="660"/>
          <a:chExt cx="35" cy="33"/>
        </a:xfrm>
      </xdr:grpSpPr>
      <xdr:sp macro="" textlink="">
        <xdr:nvSpPr>
          <xdr:cNvPr id="520" name="Freeform 524">
            <a:extLst>
              <a:ext uri="{FF2B5EF4-FFF2-40B4-BE49-F238E27FC236}">
                <a16:creationId xmlns:a16="http://schemas.microsoft.com/office/drawing/2014/main" id="{00000000-0008-0000-0000-000008020000}"/>
              </a:ext>
            </a:extLst>
          </xdr:cNvPr>
          <xdr:cNvSpPr>
            <a:spLocks/>
          </xdr:cNvSpPr>
        </xdr:nvSpPr>
        <xdr:spPr bwMode="auto">
          <a:xfrm>
            <a:off x="34" y="660"/>
            <a:ext cx="12" cy="32"/>
          </a:xfrm>
          <a:custGeom>
            <a:avLst/>
            <a:gdLst>
              <a:gd name="T0" fmla="*/ 6 w 13"/>
              <a:gd name="T1" fmla="*/ 1 h 51"/>
              <a:gd name="T2" fmla="*/ 6 w 13"/>
              <a:gd name="T3" fmla="*/ 1 h 51"/>
              <a:gd name="T4" fmla="*/ 5 w 13"/>
              <a:gd name="T5" fmla="*/ 1 h 51"/>
              <a:gd name="T6" fmla="*/ 5 w 13"/>
              <a:gd name="T7" fmla="*/ 1 h 51"/>
              <a:gd name="T8" fmla="*/ 6 w 13"/>
              <a:gd name="T9" fmla="*/ 1 h 51"/>
              <a:gd name="T10" fmla="*/ 6 w 13"/>
              <a:gd name="T11" fmla="*/ 0 h 51"/>
              <a:gd name="T12" fmla="*/ 0 w 13"/>
              <a:gd name="T13" fmla="*/ 1 h 51"/>
              <a:gd name="T14" fmla="*/ 0 w 13"/>
              <a:gd name="T15" fmla="*/ 1 h 51"/>
              <a:gd name="T16" fmla="*/ 6 w 13"/>
              <a:gd name="T17" fmla="*/ 1 h 5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3"/>
              <a:gd name="T28" fmla="*/ 0 h 51"/>
              <a:gd name="T29" fmla="*/ 13 w 13"/>
              <a:gd name="T30" fmla="*/ 51 h 5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3" h="51">
                <a:moveTo>
                  <a:pt x="13" y="51"/>
                </a:moveTo>
                <a:lnTo>
                  <a:pt x="13" y="37"/>
                </a:lnTo>
                <a:lnTo>
                  <a:pt x="5" y="35"/>
                </a:lnTo>
                <a:lnTo>
                  <a:pt x="5" y="17"/>
                </a:lnTo>
                <a:lnTo>
                  <a:pt x="13" y="14"/>
                </a:lnTo>
                <a:lnTo>
                  <a:pt x="13" y="0"/>
                </a:lnTo>
                <a:lnTo>
                  <a:pt x="0" y="9"/>
                </a:lnTo>
                <a:lnTo>
                  <a:pt x="0" y="42"/>
                </a:lnTo>
                <a:lnTo>
                  <a:pt x="13" y="51"/>
                </a:lnTo>
              </a:path>
            </a:pathLst>
          </a:custGeom>
          <a:solidFill>
            <a:srgbClr val="808080"/>
          </a:solidFill>
          <a:ln w="9525">
            <a:solidFill>
              <a:srgbClr val="000000"/>
            </a:solidFill>
            <a:round/>
            <a:headEnd/>
            <a:tailEnd/>
          </a:ln>
        </xdr:spPr>
      </xdr:sp>
      <xdr:sp macro="" textlink="">
        <xdr:nvSpPr>
          <xdr:cNvPr id="521" name="Rectangle 525">
            <a:extLst>
              <a:ext uri="{FF2B5EF4-FFF2-40B4-BE49-F238E27FC236}">
                <a16:creationId xmlns:a16="http://schemas.microsoft.com/office/drawing/2014/main" id="{00000000-0008-0000-0000-000009020000}"/>
              </a:ext>
            </a:extLst>
          </xdr:cNvPr>
          <xdr:cNvSpPr>
            <a:spLocks noChangeArrowheads="1"/>
          </xdr:cNvSpPr>
        </xdr:nvSpPr>
        <xdr:spPr bwMode="auto">
          <a:xfrm>
            <a:off x="44" y="660"/>
            <a:ext cx="25" cy="9"/>
          </a:xfrm>
          <a:prstGeom prst="rect">
            <a:avLst/>
          </a:prstGeom>
          <a:gradFill rotWithShape="0">
            <a:gsLst>
              <a:gs pos="0">
                <a:srgbClr val="525252"/>
              </a:gs>
              <a:gs pos="50000">
                <a:srgbClr val="B2B2B2"/>
              </a:gs>
              <a:gs pos="100000">
                <a:srgbClr val="525252"/>
              </a:gs>
            </a:gsLst>
            <a:lin ang="0" scaled="1"/>
          </a:gradFill>
          <a:ln w="9525">
            <a:solidFill>
              <a:srgbClr val="000000"/>
            </a:solidFill>
            <a:miter lim="800000"/>
            <a:headEnd/>
            <a:tailEnd/>
          </a:ln>
        </xdr:spPr>
      </xdr:sp>
      <xdr:sp macro="" textlink="">
        <xdr:nvSpPr>
          <xdr:cNvPr id="522" name="Rectangle 526">
            <a:extLst>
              <a:ext uri="{FF2B5EF4-FFF2-40B4-BE49-F238E27FC236}">
                <a16:creationId xmlns:a16="http://schemas.microsoft.com/office/drawing/2014/main" id="{00000000-0008-0000-0000-00000A020000}"/>
              </a:ext>
            </a:extLst>
          </xdr:cNvPr>
          <xdr:cNvSpPr>
            <a:spLocks noChangeArrowheads="1"/>
          </xdr:cNvSpPr>
        </xdr:nvSpPr>
        <xdr:spPr bwMode="auto">
          <a:xfrm>
            <a:off x="44" y="684"/>
            <a:ext cx="25" cy="9"/>
          </a:xfrm>
          <a:prstGeom prst="rect">
            <a:avLst/>
          </a:prstGeom>
          <a:gradFill rotWithShape="0">
            <a:gsLst>
              <a:gs pos="0">
                <a:srgbClr val="525252"/>
              </a:gs>
              <a:gs pos="50000">
                <a:srgbClr val="B2B2B2"/>
              </a:gs>
              <a:gs pos="100000">
                <a:srgbClr val="525252"/>
              </a:gs>
            </a:gsLst>
            <a:lin ang="0" scaled="1"/>
          </a:gradFill>
          <a:ln w="9525">
            <a:solidFill>
              <a:srgbClr val="000000"/>
            </a:solidFill>
            <a:miter lim="800000"/>
            <a:headEnd/>
            <a:tailEnd/>
          </a:ln>
        </xdr:spPr>
      </xdr:sp>
      <xdr:sp macro="" textlink="">
        <xdr:nvSpPr>
          <xdr:cNvPr id="523" name="Rectangle 527">
            <a:extLst>
              <a:ext uri="{FF2B5EF4-FFF2-40B4-BE49-F238E27FC236}">
                <a16:creationId xmlns:a16="http://schemas.microsoft.com/office/drawing/2014/main" id="{00000000-0008-0000-0000-00000B020000}"/>
              </a:ext>
            </a:extLst>
          </xdr:cNvPr>
          <xdr:cNvSpPr>
            <a:spLocks noChangeArrowheads="1"/>
          </xdr:cNvSpPr>
        </xdr:nvSpPr>
        <xdr:spPr bwMode="auto">
          <a:xfrm>
            <a:off x="44" y="672"/>
            <a:ext cx="25" cy="9"/>
          </a:xfrm>
          <a:prstGeom prst="rect">
            <a:avLst/>
          </a:prstGeom>
          <a:gradFill rotWithShape="0">
            <a:gsLst>
              <a:gs pos="0">
                <a:srgbClr val="525252"/>
              </a:gs>
              <a:gs pos="50000">
                <a:srgbClr val="B2B2B2"/>
              </a:gs>
              <a:gs pos="100000">
                <a:srgbClr val="525252"/>
              </a:gs>
            </a:gsLst>
            <a:lin ang="0" scaled="1"/>
          </a:gradFill>
          <a:ln w="9525">
            <a:solidFill>
              <a:srgbClr val="000000"/>
            </a:solidFill>
            <a:miter lim="800000"/>
            <a:headEnd/>
            <a:tailEnd/>
          </a:ln>
        </xdr:spPr>
      </xdr:sp>
    </xdr:grpSp>
    <xdr:clientData/>
  </xdr:twoCellAnchor>
  <xdr:twoCellAnchor>
    <xdr:from>
      <xdr:col>0</xdr:col>
      <xdr:colOff>400050</xdr:colOff>
      <xdr:row>24</xdr:row>
      <xdr:rowOff>114300</xdr:rowOff>
    </xdr:from>
    <xdr:to>
      <xdr:col>0</xdr:col>
      <xdr:colOff>657225</xdr:colOff>
      <xdr:row>25</xdr:row>
      <xdr:rowOff>57150</xdr:rowOff>
    </xdr:to>
    <xdr:grpSp>
      <xdr:nvGrpSpPr>
        <xdr:cNvPr id="524" name="Group 528">
          <a:extLst>
            <a:ext uri="{FF2B5EF4-FFF2-40B4-BE49-F238E27FC236}">
              <a16:creationId xmlns:a16="http://schemas.microsoft.com/office/drawing/2014/main" id="{00000000-0008-0000-0000-00000C020000}"/>
            </a:ext>
          </a:extLst>
        </xdr:cNvPr>
        <xdr:cNvGrpSpPr>
          <a:grpSpLocks/>
        </xdr:cNvGrpSpPr>
      </xdr:nvGrpSpPr>
      <xdr:grpSpPr bwMode="auto">
        <a:xfrm>
          <a:off x="400050" y="4533900"/>
          <a:ext cx="257175" cy="142875"/>
          <a:chOff x="81" y="580"/>
          <a:chExt cx="26" cy="14"/>
        </a:xfrm>
      </xdr:grpSpPr>
      <xdr:sp macro="" textlink="">
        <xdr:nvSpPr>
          <xdr:cNvPr id="525" name="Rectangle 529">
            <a:extLst>
              <a:ext uri="{FF2B5EF4-FFF2-40B4-BE49-F238E27FC236}">
                <a16:creationId xmlns:a16="http://schemas.microsoft.com/office/drawing/2014/main" id="{00000000-0008-0000-0000-00000D020000}"/>
              </a:ext>
            </a:extLst>
          </xdr:cNvPr>
          <xdr:cNvSpPr>
            <a:spLocks noChangeArrowheads="1"/>
          </xdr:cNvSpPr>
        </xdr:nvSpPr>
        <xdr:spPr bwMode="auto">
          <a:xfrm>
            <a:off x="81" y="580"/>
            <a:ext cx="26" cy="14"/>
          </a:xfrm>
          <a:prstGeom prst="rect">
            <a:avLst/>
          </a:prstGeom>
          <a:gradFill rotWithShape="0">
            <a:gsLst>
              <a:gs pos="0">
                <a:srgbClr val="767676"/>
              </a:gs>
              <a:gs pos="50000">
                <a:srgbClr val="FFFFFF"/>
              </a:gs>
              <a:gs pos="100000">
                <a:srgbClr val="767676"/>
              </a:gs>
            </a:gsLst>
            <a:lin ang="0" scaled="1"/>
          </a:gradFill>
          <a:ln w="9525">
            <a:solidFill>
              <a:srgbClr val="000000"/>
            </a:solidFill>
            <a:miter lim="800000"/>
            <a:headEnd/>
            <a:tailEnd/>
          </a:ln>
        </xdr:spPr>
      </xdr:sp>
      <xdr:sp macro="" textlink="">
        <xdr:nvSpPr>
          <xdr:cNvPr id="526" name="Rectangle 530">
            <a:extLst>
              <a:ext uri="{FF2B5EF4-FFF2-40B4-BE49-F238E27FC236}">
                <a16:creationId xmlns:a16="http://schemas.microsoft.com/office/drawing/2014/main" id="{00000000-0008-0000-0000-00000E020000}"/>
              </a:ext>
            </a:extLst>
          </xdr:cNvPr>
          <xdr:cNvSpPr>
            <a:spLocks noChangeArrowheads="1"/>
          </xdr:cNvSpPr>
        </xdr:nvSpPr>
        <xdr:spPr bwMode="auto">
          <a:xfrm>
            <a:off x="81" y="585"/>
            <a:ext cx="3" cy="4"/>
          </a:xfrm>
          <a:prstGeom prst="rect">
            <a:avLst/>
          </a:prstGeom>
          <a:solidFill>
            <a:srgbClr val="000000"/>
          </a:solidFill>
          <a:ln w="9525">
            <a:solidFill>
              <a:srgbClr val="000000"/>
            </a:solidFill>
            <a:miter lim="800000"/>
            <a:headEnd/>
            <a:tailEnd/>
          </a:ln>
        </xdr:spPr>
      </xdr:sp>
      <xdr:sp macro="" textlink="">
        <xdr:nvSpPr>
          <xdr:cNvPr id="527" name="Rectangle 531">
            <a:extLst>
              <a:ext uri="{FF2B5EF4-FFF2-40B4-BE49-F238E27FC236}">
                <a16:creationId xmlns:a16="http://schemas.microsoft.com/office/drawing/2014/main" id="{00000000-0008-0000-0000-00000F020000}"/>
              </a:ext>
            </a:extLst>
          </xdr:cNvPr>
          <xdr:cNvSpPr>
            <a:spLocks noChangeArrowheads="1"/>
          </xdr:cNvSpPr>
        </xdr:nvSpPr>
        <xdr:spPr bwMode="auto">
          <a:xfrm>
            <a:off x="104" y="585"/>
            <a:ext cx="3" cy="4"/>
          </a:xfrm>
          <a:prstGeom prst="rect">
            <a:avLst/>
          </a:prstGeom>
          <a:solidFill>
            <a:srgbClr val="000000"/>
          </a:solidFill>
          <a:ln w="9525">
            <a:solidFill>
              <a:srgbClr val="000000"/>
            </a:solidFill>
            <a:miter lim="800000"/>
            <a:headEnd/>
            <a:tailEnd/>
          </a:ln>
        </xdr:spPr>
      </xdr:sp>
    </xdr:grpSp>
    <xdr:clientData/>
  </xdr:twoCellAnchor>
  <xdr:twoCellAnchor>
    <xdr:from>
      <xdr:col>0</xdr:col>
      <xdr:colOff>295275</xdr:colOff>
      <xdr:row>12</xdr:row>
      <xdr:rowOff>133350</xdr:rowOff>
    </xdr:from>
    <xdr:to>
      <xdr:col>0</xdr:col>
      <xdr:colOff>381000</xdr:colOff>
      <xdr:row>14</xdr:row>
      <xdr:rowOff>9525</xdr:rowOff>
    </xdr:to>
    <xdr:grpSp>
      <xdr:nvGrpSpPr>
        <xdr:cNvPr id="528" name="Group 532">
          <a:extLst>
            <a:ext uri="{FF2B5EF4-FFF2-40B4-BE49-F238E27FC236}">
              <a16:creationId xmlns:a16="http://schemas.microsoft.com/office/drawing/2014/main" id="{00000000-0008-0000-0000-000010020000}"/>
            </a:ext>
          </a:extLst>
        </xdr:cNvPr>
        <xdr:cNvGrpSpPr>
          <a:grpSpLocks/>
        </xdr:cNvGrpSpPr>
      </xdr:nvGrpSpPr>
      <xdr:grpSpPr bwMode="auto">
        <a:xfrm>
          <a:off x="295275" y="2247900"/>
          <a:ext cx="85725" cy="257175"/>
          <a:chOff x="32" y="255"/>
          <a:chExt cx="10" cy="62"/>
        </a:xfrm>
      </xdr:grpSpPr>
      <xdr:sp macro="" textlink="">
        <xdr:nvSpPr>
          <xdr:cNvPr id="529" name="Rectangle 533">
            <a:extLst>
              <a:ext uri="{FF2B5EF4-FFF2-40B4-BE49-F238E27FC236}">
                <a16:creationId xmlns:a16="http://schemas.microsoft.com/office/drawing/2014/main" id="{00000000-0008-0000-0000-000011020000}"/>
              </a:ext>
            </a:extLst>
          </xdr:cNvPr>
          <xdr:cNvSpPr>
            <a:spLocks noChangeArrowheads="1"/>
          </xdr:cNvSpPr>
        </xdr:nvSpPr>
        <xdr:spPr bwMode="auto">
          <a:xfrm rot="16209932" flipH="1">
            <a:off x="31" y="306"/>
            <a:ext cx="12" cy="10"/>
          </a:xfrm>
          <a:prstGeom prst="rect">
            <a:avLst/>
          </a:prstGeom>
          <a:gradFill rotWithShape="1">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530" name="AutoShape 534">
            <a:extLst>
              <a:ext uri="{FF2B5EF4-FFF2-40B4-BE49-F238E27FC236}">
                <a16:creationId xmlns:a16="http://schemas.microsoft.com/office/drawing/2014/main" id="{00000000-0008-0000-0000-000012020000}"/>
              </a:ext>
            </a:extLst>
          </xdr:cNvPr>
          <xdr:cNvSpPr>
            <a:spLocks noChangeArrowheads="1"/>
          </xdr:cNvSpPr>
        </xdr:nvSpPr>
        <xdr:spPr bwMode="auto">
          <a:xfrm rot="16209932" flipH="1">
            <a:off x="23" y="286"/>
            <a:ext cx="28" cy="10"/>
          </a:xfrm>
          <a:prstGeom prst="flowChartAlternateProcess">
            <a:avLst/>
          </a:prstGeom>
          <a:gradFill rotWithShape="1">
            <a:gsLst>
              <a:gs pos="0">
                <a:srgbClr val="760000"/>
              </a:gs>
              <a:gs pos="50000">
                <a:srgbClr val="FF0000"/>
              </a:gs>
              <a:gs pos="100000">
                <a:srgbClr val="760000"/>
              </a:gs>
            </a:gsLst>
            <a:lin ang="0" scaled="1"/>
          </a:gradFill>
          <a:ln w="9525">
            <a:solidFill>
              <a:srgbClr val="000000"/>
            </a:solidFill>
            <a:miter lim="800000"/>
            <a:headEnd/>
            <a:tailEnd/>
          </a:ln>
        </xdr:spPr>
      </xdr:sp>
      <xdr:sp macro="" textlink="">
        <xdr:nvSpPr>
          <xdr:cNvPr id="531" name="AutoShape 535">
            <a:extLst>
              <a:ext uri="{FF2B5EF4-FFF2-40B4-BE49-F238E27FC236}">
                <a16:creationId xmlns:a16="http://schemas.microsoft.com/office/drawing/2014/main" id="{00000000-0008-0000-0000-000013020000}"/>
              </a:ext>
            </a:extLst>
          </xdr:cNvPr>
          <xdr:cNvSpPr>
            <a:spLocks noChangeArrowheads="1"/>
          </xdr:cNvSpPr>
        </xdr:nvSpPr>
        <xdr:spPr bwMode="auto">
          <a:xfrm rot="16200000" flipH="1">
            <a:off x="25" y="262"/>
            <a:ext cx="24" cy="10"/>
          </a:xfrm>
          <a:prstGeom prst="flowChartAlternateProcess">
            <a:avLst/>
          </a:prstGeom>
          <a:gradFill rotWithShape="1">
            <a:gsLst>
              <a:gs pos="0">
                <a:srgbClr val="760000"/>
              </a:gs>
              <a:gs pos="50000">
                <a:srgbClr val="FF0000"/>
              </a:gs>
              <a:gs pos="100000">
                <a:srgbClr val="760000"/>
              </a:gs>
            </a:gsLst>
            <a:lin ang="0" scaled="1"/>
          </a:gradFill>
          <a:ln w="9525">
            <a:solidFill>
              <a:srgbClr val="000000"/>
            </a:solidFill>
            <a:miter lim="800000"/>
            <a:headEnd/>
            <a:tailEnd/>
          </a:ln>
        </xdr:spPr>
      </xdr:sp>
    </xdr:grpSp>
    <xdr:clientData/>
  </xdr:twoCellAnchor>
  <xdr:oneCellAnchor>
    <xdr:from>
      <xdr:col>0</xdr:col>
      <xdr:colOff>219075</xdr:colOff>
      <xdr:row>28</xdr:row>
      <xdr:rowOff>0</xdr:rowOff>
    </xdr:from>
    <xdr:ext cx="96821" cy="180036"/>
    <xdr:sp macro="" textlink="">
      <xdr:nvSpPr>
        <xdr:cNvPr id="532" name="Text Box 536">
          <a:extLst>
            <a:ext uri="{FF2B5EF4-FFF2-40B4-BE49-F238E27FC236}">
              <a16:creationId xmlns:a16="http://schemas.microsoft.com/office/drawing/2014/main" id="{00000000-0008-0000-0000-000014020000}"/>
            </a:ext>
          </a:extLst>
        </xdr:cNvPr>
        <xdr:cNvSpPr txBox="1">
          <a:spLocks noChangeArrowheads="1"/>
        </xdr:cNvSpPr>
      </xdr:nvSpPr>
      <xdr:spPr bwMode="auto">
        <a:xfrm>
          <a:off x="219075" y="5219700"/>
          <a:ext cx="96821" cy="180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F</a:t>
          </a:r>
        </a:p>
      </xdr:txBody>
    </xdr:sp>
    <xdr:clientData/>
  </xdr:oneCellAnchor>
  <xdr:oneCellAnchor>
    <xdr:from>
      <xdr:col>0</xdr:col>
      <xdr:colOff>847725</xdr:colOff>
      <xdr:row>23</xdr:row>
      <xdr:rowOff>0</xdr:rowOff>
    </xdr:from>
    <xdr:ext cx="161925" cy="257175"/>
    <xdr:sp macro="" textlink="">
      <xdr:nvSpPr>
        <xdr:cNvPr id="533" name="Text Box 537">
          <a:extLst>
            <a:ext uri="{FF2B5EF4-FFF2-40B4-BE49-F238E27FC236}">
              <a16:creationId xmlns:a16="http://schemas.microsoft.com/office/drawing/2014/main" id="{00000000-0008-0000-0000-000015020000}"/>
            </a:ext>
          </a:extLst>
        </xdr:cNvPr>
        <xdr:cNvSpPr txBox="1">
          <a:spLocks noChangeArrowheads="1"/>
        </xdr:cNvSpPr>
      </xdr:nvSpPr>
      <xdr:spPr bwMode="auto">
        <a:xfrm>
          <a:off x="847725" y="4219575"/>
          <a:ext cx="161925" cy="2571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7</a:t>
          </a:r>
        </a:p>
        <a:p>
          <a:pPr algn="l" rtl="0">
            <a:defRPr sz="1000"/>
          </a:pPr>
          <a:endParaRPr lang="en-US" sz="1000" b="1" i="0" strike="noStrike">
            <a:solidFill>
              <a:srgbClr val="000000"/>
            </a:solidFill>
            <a:latin typeface="Arial"/>
            <a:cs typeface="Arial"/>
          </a:endParaRPr>
        </a:p>
      </xdr:txBody>
    </xdr:sp>
    <xdr:clientData/>
  </xdr:oneCellAnchor>
  <xdr:twoCellAnchor editAs="oneCell">
    <xdr:from>
      <xdr:col>1</xdr:col>
      <xdr:colOff>0</xdr:colOff>
      <xdr:row>40</xdr:row>
      <xdr:rowOff>28575</xdr:rowOff>
    </xdr:from>
    <xdr:to>
      <xdr:col>1</xdr:col>
      <xdr:colOff>76200</xdr:colOff>
      <xdr:row>41</xdr:row>
      <xdr:rowOff>28575</xdr:rowOff>
    </xdr:to>
    <xdr:sp macro="" textlink="">
      <xdr:nvSpPr>
        <xdr:cNvPr id="534" name="Text Box 538">
          <a:extLst>
            <a:ext uri="{FF2B5EF4-FFF2-40B4-BE49-F238E27FC236}">
              <a16:creationId xmlns:a16="http://schemas.microsoft.com/office/drawing/2014/main" id="{00000000-0008-0000-0000-000016020000}"/>
            </a:ext>
          </a:extLst>
        </xdr:cNvPr>
        <xdr:cNvSpPr txBox="1">
          <a:spLocks noChangeArrowheads="1"/>
        </xdr:cNvSpPr>
      </xdr:nvSpPr>
      <xdr:spPr bwMode="auto">
        <a:xfrm>
          <a:off x="1095375" y="7648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42</xdr:row>
      <xdr:rowOff>28575</xdr:rowOff>
    </xdr:from>
    <xdr:to>
      <xdr:col>1</xdr:col>
      <xdr:colOff>76200</xdr:colOff>
      <xdr:row>43</xdr:row>
      <xdr:rowOff>28575</xdr:rowOff>
    </xdr:to>
    <xdr:sp macro="" textlink="">
      <xdr:nvSpPr>
        <xdr:cNvPr id="535" name="Text Box 539">
          <a:extLst>
            <a:ext uri="{FF2B5EF4-FFF2-40B4-BE49-F238E27FC236}">
              <a16:creationId xmlns:a16="http://schemas.microsoft.com/office/drawing/2014/main" id="{00000000-0008-0000-0000-000017020000}"/>
            </a:ext>
          </a:extLst>
        </xdr:cNvPr>
        <xdr:cNvSpPr txBox="1">
          <a:spLocks noChangeArrowheads="1"/>
        </xdr:cNvSpPr>
      </xdr:nvSpPr>
      <xdr:spPr bwMode="auto">
        <a:xfrm>
          <a:off x="1095375" y="80486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866775</xdr:colOff>
      <xdr:row>47</xdr:row>
      <xdr:rowOff>38100</xdr:rowOff>
    </xdr:from>
    <xdr:ext cx="161070" cy="170560"/>
    <xdr:sp macro="" textlink="">
      <xdr:nvSpPr>
        <xdr:cNvPr id="536" name="Text Box 540">
          <a:extLst>
            <a:ext uri="{FF2B5EF4-FFF2-40B4-BE49-F238E27FC236}">
              <a16:creationId xmlns:a16="http://schemas.microsoft.com/office/drawing/2014/main" id="{00000000-0008-0000-0000-000018020000}"/>
            </a:ext>
          </a:extLst>
        </xdr:cNvPr>
        <xdr:cNvSpPr txBox="1">
          <a:spLocks noChangeArrowheads="1"/>
        </xdr:cNvSpPr>
      </xdr:nvSpPr>
      <xdr:spPr bwMode="auto">
        <a:xfrm>
          <a:off x="866775" y="905827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17</a:t>
          </a:r>
        </a:p>
      </xdr:txBody>
    </xdr:sp>
    <xdr:clientData/>
  </xdr:oneCellAnchor>
  <xdr:oneCellAnchor>
    <xdr:from>
      <xdr:col>0</xdr:col>
      <xdr:colOff>866775</xdr:colOff>
      <xdr:row>50</xdr:row>
      <xdr:rowOff>0</xdr:rowOff>
    </xdr:from>
    <xdr:ext cx="161070" cy="170560"/>
    <xdr:sp macro="" textlink="">
      <xdr:nvSpPr>
        <xdr:cNvPr id="537" name="Text Box 541">
          <a:extLst>
            <a:ext uri="{FF2B5EF4-FFF2-40B4-BE49-F238E27FC236}">
              <a16:creationId xmlns:a16="http://schemas.microsoft.com/office/drawing/2014/main" id="{00000000-0008-0000-0000-000019020000}"/>
            </a:ext>
          </a:extLst>
        </xdr:cNvPr>
        <xdr:cNvSpPr txBox="1">
          <a:spLocks noChangeArrowheads="1"/>
        </xdr:cNvSpPr>
      </xdr:nvSpPr>
      <xdr:spPr bwMode="auto">
        <a:xfrm>
          <a:off x="866775" y="962025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18</a:t>
          </a:r>
        </a:p>
      </xdr:txBody>
    </xdr:sp>
    <xdr:clientData/>
  </xdr:oneCellAnchor>
  <xdr:oneCellAnchor>
    <xdr:from>
      <xdr:col>0</xdr:col>
      <xdr:colOff>866775</xdr:colOff>
      <xdr:row>51</xdr:row>
      <xdr:rowOff>47625</xdr:rowOff>
    </xdr:from>
    <xdr:ext cx="161070" cy="170560"/>
    <xdr:sp macro="" textlink="">
      <xdr:nvSpPr>
        <xdr:cNvPr id="538" name="Text Box 542">
          <a:extLst>
            <a:ext uri="{FF2B5EF4-FFF2-40B4-BE49-F238E27FC236}">
              <a16:creationId xmlns:a16="http://schemas.microsoft.com/office/drawing/2014/main" id="{00000000-0008-0000-0000-00001A020000}"/>
            </a:ext>
          </a:extLst>
        </xdr:cNvPr>
        <xdr:cNvSpPr txBox="1">
          <a:spLocks noChangeArrowheads="1"/>
        </xdr:cNvSpPr>
      </xdr:nvSpPr>
      <xdr:spPr bwMode="auto">
        <a:xfrm>
          <a:off x="866775" y="986790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19</a:t>
          </a:r>
        </a:p>
      </xdr:txBody>
    </xdr:sp>
    <xdr:clientData/>
  </xdr:oneCellAnchor>
  <xdr:oneCellAnchor>
    <xdr:from>
      <xdr:col>0</xdr:col>
      <xdr:colOff>876300</xdr:colOff>
      <xdr:row>51</xdr:row>
      <xdr:rowOff>190500</xdr:rowOff>
    </xdr:from>
    <xdr:ext cx="161070" cy="170560"/>
    <xdr:sp macro="" textlink="">
      <xdr:nvSpPr>
        <xdr:cNvPr id="539" name="Text Box 543">
          <a:extLst>
            <a:ext uri="{FF2B5EF4-FFF2-40B4-BE49-F238E27FC236}">
              <a16:creationId xmlns:a16="http://schemas.microsoft.com/office/drawing/2014/main" id="{00000000-0008-0000-0000-00001B020000}"/>
            </a:ext>
          </a:extLst>
        </xdr:cNvPr>
        <xdr:cNvSpPr txBox="1">
          <a:spLocks noChangeArrowheads="1"/>
        </xdr:cNvSpPr>
      </xdr:nvSpPr>
      <xdr:spPr bwMode="auto">
        <a:xfrm>
          <a:off x="876300" y="1001077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20</a:t>
          </a:r>
        </a:p>
      </xdr:txBody>
    </xdr:sp>
    <xdr:clientData/>
  </xdr:oneCellAnchor>
  <xdr:oneCellAnchor>
    <xdr:from>
      <xdr:col>0</xdr:col>
      <xdr:colOff>876300</xdr:colOff>
      <xdr:row>52</xdr:row>
      <xdr:rowOff>123825</xdr:rowOff>
    </xdr:from>
    <xdr:ext cx="161070" cy="170560"/>
    <xdr:sp macro="" textlink="">
      <xdr:nvSpPr>
        <xdr:cNvPr id="540" name="Text Box 544">
          <a:extLst>
            <a:ext uri="{FF2B5EF4-FFF2-40B4-BE49-F238E27FC236}">
              <a16:creationId xmlns:a16="http://schemas.microsoft.com/office/drawing/2014/main" id="{00000000-0008-0000-0000-00001C020000}"/>
            </a:ext>
          </a:extLst>
        </xdr:cNvPr>
        <xdr:cNvSpPr txBox="1">
          <a:spLocks noChangeArrowheads="1"/>
        </xdr:cNvSpPr>
      </xdr:nvSpPr>
      <xdr:spPr bwMode="auto">
        <a:xfrm>
          <a:off x="876300" y="1014412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21</a:t>
          </a:r>
        </a:p>
      </xdr:txBody>
    </xdr:sp>
    <xdr:clientData/>
  </xdr:oneCellAnchor>
  <xdr:twoCellAnchor>
    <xdr:from>
      <xdr:col>4</xdr:col>
      <xdr:colOff>57150</xdr:colOff>
      <xdr:row>4</xdr:row>
      <xdr:rowOff>47625</xdr:rowOff>
    </xdr:from>
    <xdr:to>
      <xdr:col>4</xdr:col>
      <xdr:colOff>190500</xdr:colOff>
      <xdr:row>4</xdr:row>
      <xdr:rowOff>123825</xdr:rowOff>
    </xdr:to>
    <xdr:sp macro="" textlink="">
      <xdr:nvSpPr>
        <xdr:cNvPr id="541" name="Rectangle 551">
          <a:extLst>
            <a:ext uri="{FF2B5EF4-FFF2-40B4-BE49-F238E27FC236}">
              <a16:creationId xmlns:a16="http://schemas.microsoft.com/office/drawing/2014/main" id="{00000000-0008-0000-0000-00001D020000}"/>
            </a:ext>
          </a:extLst>
        </xdr:cNvPr>
        <xdr:cNvSpPr>
          <a:spLocks noChangeArrowheads="1"/>
        </xdr:cNvSpPr>
      </xdr:nvSpPr>
      <xdr:spPr bwMode="auto">
        <a:xfrm>
          <a:off x="3152775" y="819150"/>
          <a:ext cx="133350" cy="76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66675</xdr:colOff>
      <xdr:row>6</xdr:row>
      <xdr:rowOff>38100</xdr:rowOff>
    </xdr:from>
    <xdr:to>
      <xdr:col>4</xdr:col>
      <xdr:colOff>200025</xdr:colOff>
      <xdr:row>6</xdr:row>
      <xdr:rowOff>114300</xdr:rowOff>
    </xdr:to>
    <xdr:sp macro="" textlink="">
      <xdr:nvSpPr>
        <xdr:cNvPr id="542" name="Rectangle 552">
          <a:extLst>
            <a:ext uri="{FF2B5EF4-FFF2-40B4-BE49-F238E27FC236}">
              <a16:creationId xmlns:a16="http://schemas.microsoft.com/office/drawing/2014/main" id="{00000000-0008-0000-0000-00001E020000}"/>
            </a:ext>
          </a:extLst>
        </xdr:cNvPr>
        <xdr:cNvSpPr>
          <a:spLocks noChangeArrowheads="1"/>
        </xdr:cNvSpPr>
      </xdr:nvSpPr>
      <xdr:spPr bwMode="auto">
        <a:xfrm>
          <a:off x="3162300" y="1114425"/>
          <a:ext cx="133350" cy="76200"/>
        </a:xfrm>
        <a:prstGeom prst="rect">
          <a:avLst/>
        </a:prstGeom>
        <a:solidFill>
          <a:srgbClr val="FF0000"/>
        </a:solidFill>
        <a:ln w="9525">
          <a:solidFill>
            <a:srgbClr val="000000"/>
          </a:solidFill>
          <a:miter lim="800000"/>
          <a:headEnd/>
          <a:tailEnd/>
        </a:ln>
      </xdr:spPr>
    </xdr:sp>
    <xdr:clientData/>
  </xdr:twoCellAnchor>
  <xdr:twoCellAnchor editAs="oneCell">
    <xdr:from>
      <xdr:col>1</xdr:col>
      <xdr:colOff>0</xdr:colOff>
      <xdr:row>14</xdr:row>
      <xdr:rowOff>114300</xdr:rowOff>
    </xdr:from>
    <xdr:to>
      <xdr:col>1</xdr:col>
      <xdr:colOff>76200</xdr:colOff>
      <xdr:row>15</xdr:row>
      <xdr:rowOff>152400</xdr:rowOff>
    </xdr:to>
    <xdr:sp macro="" textlink="">
      <xdr:nvSpPr>
        <xdr:cNvPr id="543" name="Text Box 553">
          <a:extLst>
            <a:ext uri="{FF2B5EF4-FFF2-40B4-BE49-F238E27FC236}">
              <a16:creationId xmlns:a16="http://schemas.microsoft.com/office/drawing/2014/main" id="{00000000-0008-0000-0000-00001F020000}"/>
            </a:ext>
          </a:extLst>
        </xdr:cNvPr>
        <xdr:cNvSpPr txBox="1">
          <a:spLocks noChangeArrowheads="1"/>
        </xdr:cNvSpPr>
      </xdr:nvSpPr>
      <xdr:spPr bwMode="auto">
        <a:xfrm>
          <a:off x="1095375" y="2609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76200</xdr:rowOff>
    </xdr:from>
    <xdr:to>
      <xdr:col>1</xdr:col>
      <xdr:colOff>76200</xdr:colOff>
      <xdr:row>18</xdr:row>
      <xdr:rowOff>76200</xdr:rowOff>
    </xdr:to>
    <xdr:sp macro="" textlink="">
      <xdr:nvSpPr>
        <xdr:cNvPr id="544" name="Text Box 554">
          <a:extLst>
            <a:ext uri="{FF2B5EF4-FFF2-40B4-BE49-F238E27FC236}">
              <a16:creationId xmlns:a16="http://schemas.microsoft.com/office/drawing/2014/main" id="{00000000-0008-0000-0000-000020020000}"/>
            </a:ext>
          </a:extLst>
        </xdr:cNvPr>
        <xdr:cNvSpPr txBox="1">
          <a:spLocks noChangeArrowheads="1"/>
        </xdr:cNvSpPr>
      </xdr:nvSpPr>
      <xdr:spPr bwMode="auto">
        <a:xfrm>
          <a:off x="1095375" y="30956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57150</xdr:colOff>
      <xdr:row>4</xdr:row>
      <xdr:rowOff>47625</xdr:rowOff>
    </xdr:from>
    <xdr:to>
      <xdr:col>9</xdr:col>
      <xdr:colOff>190500</xdr:colOff>
      <xdr:row>4</xdr:row>
      <xdr:rowOff>123825</xdr:rowOff>
    </xdr:to>
    <xdr:sp macro="" textlink="">
      <xdr:nvSpPr>
        <xdr:cNvPr id="545" name="Rectangle 555">
          <a:extLst>
            <a:ext uri="{FF2B5EF4-FFF2-40B4-BE49-F238E27FC236}">
              <a16:creationId xmlns:a16="http://schemas.microsoft.com/office/drawing/2014/main" id="{00000000-0008-0000-0000-000021020000}"/>
            </a:ext>
          </a:extLst>
        </xdr:cNvPr>
        <xdr:cNvSpPr>
          <a:spLocks noChangeArrowheads="1"/>
        </xdr:cNvSpPr>
      </xdr:nvSpPr>
      <xdr:spPr bwMode="auto">
        <a:xfrm>
          <a:off x="7105650" y="819150"/>
          <a:ext cx="133350" cy="76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57150</xdr:colOff>
      <xdr:row>5</xdr:row>
      <xdr:rowOff>47625</xdr:rowOff>
    </xdr:from>
    <xdr:to>
      <xdr:col>9</xdr:col>
      <xdr:colOff>190500</xdr:colOff>
      <xdr:row>5</xdr:row>
      <xdr:rowOff>123825</xdr:rowOff>
    </xdr:to>
    <xdr:sp macro="" textlink="">
      <xdr:nvSpPr>
        <xdr:cNvPr id="546" name="Rectangle 556">
          <a:extLst>
            <a:ext uri="{FF2B5EF4-FFF2-40B4-BE49-F238E27FC236}">
              <a16:creationId xmlns:a16="http://schemas.microsoft.com/office/drawing/2014/main" id="{00000000-0008-0000-0000-000022020000}"/>
            </a:ext>
          </a:extLst>
        </xdr:cNvPr>
        <xdr:cNvSpPr>
          <a:spLocks noChangeArrowheads="1"/>
        </xdr:cNvSpPr>
      </xdr:nvSpPr>
      <xdr:spPr bwMode="auto">
        <a:xfrm>
          <a:off x="7105650" y="971550"/>
          <a:ext cx="133350" cy="76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57150</xdr:colOff>
      <xdr:row>6</xdr:row>
      <xdr:rowOff>47625</xdr:rowOff>
    </xdr:from>
    <xdr:to>
      <xdr:col>9</xdr:col>
      <xdr:colOff>190500</xdr:colOff>
      <xdr:row>6</xdr:row>
      <xdr:rowOff>123825</xdr:rowOff>
    </xdr:to>
    <xdr:sp macro="" textlink="">
      <xdr:nvSpPr>
        <xdr:cNvPr id="547" name="Rectangle 557">
          <a:extLst>
            <a:ext uri="{FF2B5EF4-FFF2-40B4-BE49-F238E27FC236}">
              <a16:creationId xmlns:a16="http://schemas.microsoft.com/office/drawing/2014/main" id="{00000000-0008-0000-0000-000023020000}"/>
            </a:ext>
          </a:extLst>
        </xdr:cNvPr>
        <xdr:cNvSpPr>
          <a:spLocks noChangeArrowheads="1"/>
        </xdr:cNvSpPr>
      </xdr:nvSpPr>
      <xdr:spPr bwMode="auto">
        <a:xfrm>
          <a:off x="7105650" y="1123950"/>
          <a:ext cx="133350" cy="76200"/>
        </a:xfrm>
        <a:prstGeom prst="rect">
          <a:avLst/>
        </a:prstGeom>
        <a:solidFill>
          <a:srgbClr val="FF0000"/>
        </a:solidFill>
        <a:ln w="9525">
          <a:solidFill>
            <a:srgbClr val="000000"/>
          </a:solidFill>
          <a:miter lim="800000"/>
          <a:headEnd/>
          <a:tailEnd/>
        </a:ln>
      </xdr:spPr>
    </xdr:sp>
    <xdr:clientData/>
  </xdr:twoCellAnchor>
  <xdr:twoCellAnchor editAs="oneCell">
    <xdr:from>
      <xdr:col>1</xdr:col>
      <xdr:colOff>0</xdr:colOff>
      <xdr:row>20</xdr:row>
      <xdr:rowOff>76200</xdr:rowOff>
    </xdr:from>
    <xdr:to>
      <xdr:col>1</xdr:col>
      <xdr:colOff>76200</xdr:colOff>
      <xdr:row>21</xdr:row>
      <xdr:rowOff>76200</xdr:rowOff>
    </xdr:to>
    <xdr:sp macro="" textlink="">
      <xdr:nvSpPr>
        <xdr:cNvPr id="548" name="Text Box 558">
          <a:extLst>
            <a:ext uri="{FF2B5EF4-FFF2-40B4-BE49-F238E27FC236}">
              <a16:creationId xmlns:a16="http://schemas.microsoft.com/office/drawing/2014/main" id="{00000000-0008-0000-0000-000024020000}"/>
            </a:ext>
          </a:extLst>
        </xdr:cNvPr>
        <xdr:cNvSpPr txBox="1">
          <a:spLocks noChangeArrowheads="1"/>
        </xdr:cNvSpPr>
      </xdr:nvSpPr>
      <xdr:spPr bwMode="auto">
        <a:xfrm>
          <a:off x="1095375" y="3695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23</xdr:row>
      <xdr:rowOff>0</xdr:rowOff>
    </xdr:from>
    <xdr:to>
      <xdr:col>1</xdr:col>
      <xdr:colOff>76200</xdr:colOff>
      <xdr:row>24</xdr:row>
      <xdr:rowOff>0</xdr:rowOff>
    </xdr:to>
    <xdr:sp macro="" textlink="">
      <xdr:nvSpPr>
        <xdr:cNvPr id="549" name="Text Box 559">
          <a:extLst>
            <a:ext uri="{FF2B5EF4-FFF2-40B4-BE49-F238E27FC236}">
              <a16:creationId xmlns:a16="http://schemas.microsoft.com/office/drawing/2014/main" id="{00000000-0008-0000-0000-000025020000}"/>
            </a:ext>
          </a:extLst>
        </xdr:cNvPr>
        <xdr:cNvSpPr txBox="1">
          <a:spLocks noChangeArrowheads="1"/>
        </xdr:cNvSpPr>
      </xdr:nvSpPr>
      <xdr:spPr bwMode="auto">
        <a:xfrm>
          <a:off x="1095375" y="421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50" name="Text Box 560">
          <a:extLst>
            <a:ext uri="{FF2B5EF4-FFF2-40B4-BE49-F238E27FC236}">
              <a16:creationId xmlns:a16="http://schemas.microsoft.com/office/drawing/2014/main" id="{00000000-0008-0000-0000-000026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xdr:row>
      <xdr:rowOff>76200</xdr:rowOff>
    </xdr:from>
    <xdr:to>
      <xdr:col>1</xdr:col>
      <xdr:colOff>76200</xdr:colOff>
      <xdr:row>30</xdr:row>
      <xdr:rowOff>76200</xdr:rowOff>
    </xdr:to>
    <xdr:sp macro="" textlink="">
      <xdr:nvSpPr>
        <xdr:cNvPr id="551" name="Text Box 561">
          <a:extLst>
            <a:ext uri="{FF2B5EF4-FFF2-40B4-BE49-F238E27FC236}">
              <a16:creationId xmlns:a16="http://schemas.microsoft.com/office/drawing/2014/main" id="{00000000-0008-0000-0000-000027020000}"/>
            </a:ext>
          </a:extLst>
        </xdr:cNvPr>
        <xdr:cNvSpPr txBox="1">
          <a:spLocks noChangeArrowheads="1"/>
        </xdr:cNvSpPr>
      </xdr:nvSpPr>
      <xdr:spPr bwMode="auto">
        <a:xfrm>
          <a:off x="1095375" y="54959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32</xdr:row>
      <xdr:rowOff>76200</xdr:rowOff>
    </xdr:from>
    <xdr:to>
      <xdr:col>1</xdr:col>
      <xdr:colOff>76200</xdr:colOff>
      <xdr:row>33</xdr:row>
      <xdr:rowOff>76200</xdr:rowOff>
    </xdr:to>
    <xdr:sp macro="" textlink="">
      <xdr:nvSpPr>
        <xdr:cNvPr id="552" name="Text Box 562">
          <a:extLst>
            <a:ext uri="{FF2B5EF4-FFF2-40B4-BE49-F238E27FC236}">
              <a16:creationId xmlns:a16="http://schemas.microsoft.com/office/drawing/2014/main" id="{00000000-0008-0000-0000-000028020000}"/>
            </a:ext>
          </a:extLst>
        </xdr:cNvPr>
        <xdr:cNvSpPr txBox="1">
          <a:spLocks noChangeArrowheads="1"/>
        </xdr:cNvSpPr>
      </xdr:nvSpPr>
      <xdr:spPr bwMode="auto">
        <a:xfrm>
          <a:off x="1095375" y="60960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xdr:row>
      <xdr:rowOff>76200</xdr:rowOff>
    </xdr:from>
    <xdr:to>
      <xdr:col>1</xdr:col>
      <xdr:colOff>76200</xdr:colOff>
      <xdr:row>30</xdr:row>
      <xdr:rowOff>76200</xdr:rowOff>
    </xdr:to>
    <xdr:sp macro="" textlink="">
      <xdr:nvSpPr>
        <xdr:cNvPr id="553" name="Text Box 563">
          <a:extLst>
            <a:ext uri="{FF2B5EF4-FFF2-40B4-BE49-F238E27FC236}">
              <a16:creationId xmlns:a16="http://schemas.microsoft.com/office/drawing/2014/main" id="{00000000-0008-0000-0000-000029020000}"/>
            </a:ext>
          </a:extLst>
        </xdr:cNvPr>
        <xdr:cNvSpPr txBox="1">
          <a:spLocks noChangeArrowheads="1"/>
        </xdr:cNvSpPr>
      </xdr:nvSpPr>
      <xdr:spPr bwMode="auto">
        <a:xfrm>
          <a:off x="1095375" y="54959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54" name="Text Box 564">
          <a:extLst>
            <a:ext uri="{FF2B5EF4-FFF2-40B4-BE49-F238E27FC236}">
              <a16:creationId xmlns:a16="http://schemas.microsoft.com/office/drawing/2014/main" id="{00000000-0008-0000-0000-00002A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55" name="Text Box 565">
          <a:extLst>
            <a:ext uri="{FF2B5EF4-FFF2-40B4-BE49-F238E27FC236}">
              <a16:creationId xmlns:a16="http://schemas.microsoft.com/office/drawing/2014/main" id="{00000000-0008-0000-0000-00002B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56" name="Text Box 566">
          <a:extLst>
            <a:ext uri="{FF2B5EF4-FFF2-40B4-BE49-F238E27FC236}">
              <a16:creationId xmlns:a16="http://schemas.microsoft.com/office/drawing/2014/main" id="{00000000-0008-0000-0000-00002C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xdr:row>
      <xdr:rowOff>76200</xdr:rowOff>
    </xdr:from>
    <xdr:to>
      <xdr:col>1</xdr:col>
      <xdr:colOff>76200</xdr:colOff>
      <xdr:row>30</xdr:row>
      <xdr:rowOff>76200</xdr:rowOff>
    </xdr:to>
    <xdr:sp macro="" textlink="">
      <xdr:nvSpPr>
        <xdr:cNvPr id="557" name="Text Box 567">
          <a:extLst>
            <a:ext uri="{FF2B5EF4-FFF2-40B4-BE49-F238E27FC236}">
              <a16:creationId xmlns:a16="http://schemas.microsoft.com/office/drawing/2014/main" id="{00000000-0008-0000-0000-00002D020000}"/>
            </a:ext>
          </a:extLst>
        </xdr:cNvPr>
        <xdr:cNvSpPr txBox="1">
          <a:spLocks noChangeArrowheads="1"/>
        </xdr:cNvSpPr>
      </xdr:nvSpPr>
      <xdr:spPr bwMode="auto">
        <a:xfrm>
          <a:off x="1095375" y="54959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76200</xdr:rowOff>
    </xdr:from>
    <xdr:to>
      <xdr:col>1</xdr:col>
      <xdr:colOff>76200</xdr:colOff>
      <xdr:row>22</xdr:row>
      <xdr:rowOff>76200</xdr:rowOff>
    </xdr:to>
    <xdr:sp macro="" textlink="">
      <xdr:nvSpPr>
        <xdr:cNvPr id="558" name="Text Box 568">
          <a:extLst>
            <a:ext uri="{FF2B5EF4-FFF2-40B4-BE49-F238E27FC236}">
              <a16:creationId xmlns:a16="http://schemas.microsoft.com/office/drawing/2014/main" id="{00000000-0008-0000-0000-00002E020000}"/>
            </a:ext>
          </a:extLst>
        </xdr:cNvPr>
        <xdr:cNvSpPr txBox="1">
          <a:spLocks noChangeArrowheads="1"/>
        </xdr:cNvSpPr>
      </xdr:nvSpPr>
      <xdr:spPr bwMode="auto">
        <a:xfrm>
          <a:off x="1095375" y="3895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76200</xdr:rowOff>
    </xdr:from>
    <xdr:to>
      <xdr:col>1</xdr:col>
      <xdr:colOff>76200</xdr:colOff>
      <xdr:row>22</xdr:row>
      <xdr:rowOff>76200</xdr:rowOff>
    </xdr:to>
    <xdr:sp macro="" textlink="">
      <xdr:nvSpPr>
        <xdr:cNvPr id="559" name="Text Box 569">
          <a:extLst>
            <a:ext uri="{FF2B5EF4-FFF2-40B4-BE49-F238E27FC236}">
              <a16:creationId xmlns:a16="http://schemas.microsoft.com/office/drawing/2014/main" id="{00000000-0008-0000-0000-00002F020000}"/>
            </a:ext>
          </a:extLst>
        </xdr:cNvPr>
        <xdr:cNvSpPr txBox="1">
          <a:spLocks noChangeArrowheads="1"/>
        </xdr:cNvSpPr>
      </xdr:nvSpPr>
      <xdr:spPr bwMode="auto">
        <a:xfrm>
          <a:off x="1095375" y="3895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25</xdr:row>
      <xdr:rowOff>76200</xdr:rowOff>
    </xdr:from>
    <xdr:to>
      <xdr:col>1</xdr:col>
      <xdr:colOff>76200</xdr:colOff>
      <xdr:row>26</xdr:row>
      <xdr:rowOff>76200</xdr:rowOff>
    </xdr:to>
    <xdr:sp macro="" textlink="">
      <xdr:nvSpPr>
        <xdr:cNvPr id="560" name="Text Box 570">
          <a:extLst>
            <a:ext uri="{FF2B5EF4-FFF2-40B4-BE49-F238E27FC236}">
              <a16:creationId xmlns:a16="http://schemas.microsoft.com/office/drawing/2014/main" id="{00000000-0008-0000-0000-000030020000}"/>
            </a:ext>
          </a:extLst>
        </xdr:cNvPr>
        <xdr:cNvSpPr txBox="1">
          <a:spLocks noChangeArrowheads="1"/>
        </xdr:cNvSpPr>
      </xdr:nvSpPr>
      <xdr:spPr bwMode="auto">
        <a:xfrm>
          <a:off x="1095375" y="46958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26</xdr:row>
      <xdr:rowOff>76200</xdr:rowOff>
    </xdr:from>
    <xdr:to>
      <xdr:col>1</xdr:col>
      <xdr:colOff>76200</xdr:colOff>
      <xdr:row>27</xdr:row>
      <xdr:rowOff>76200</xdr:rowOff>
    </xdr:to>
    <xdr:sp macro="" textlink="">
      <xdr:nvSpPr>
        <xdr:cNvPr id="561" name="Text Box 571">
          <a:extLst>
            <a:ext uri="{FF2B5EF4-FFF2-40B4-BE49-F238E27FC236}">
              <a16:creationId xmlns:a16="http://schemas.microsoft.com/office/drawing/2014/main" id="{00000000-0008-0000-0000-000031020000}"/>
            </a:ext>
          </a:extLst>
        </xdr:cNvPr>
        <xdr:cNvSpPr txBox="1">
          <a:spLocks noChangeArrowheads="1"/>
        </xdr:cNvSpPr>
      </xdr:nvSpPr>
      <xdr:spPr bwMode="auto">
        <a:xfrm>
          <a:off x="1095375" y="4895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26</xdr:row>
      <xdr:rowOff>76200</xdr:rowOff>
    </xdr:from>
    <xdr:to>
      <xdr:col>1</xdr:col>
      <xdr:colOff>76200</xdr:colOff>
      <xdr:row>27</xdr:row>
      <xdr:rowOff>76200</xdr:rowOff>
    </xdr:to>
    <xdr:sp macro="" textlink="">
      <xdr:nvSpPr>
        <xdr:cNvPr id="562" name="Text Box 572">
          <a:extLst>
            <a:ext uri="{FF2B5EF4-FFF2-40B4-BE49-F238E27FC236}">
              <a16:creationId xmlns:a16="http://schemas.microsoft.com/office/drawing/2014/main" id="{00000000-0008-0000-0000-000032020000}"/>
            </a:ext>
          </a:extLst>
        </xdr:cNvPr>
        <xdr:cNvSpPr txBox="1">
          <a:spLocks noChangeArrowheads="1"/>
        </xdr:cNvSpPr>
      </xdr:nvSpPr>
      <xdr:spPr bwMode="auto">
        <a:xfrm>
          <a:off x="1095375" y="4895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76200</xdr:rowOff>
    </xdr:from>
    <xdr:to>
      <xdr:col>1</xdr:col>
      <xdr:colOff>76200</xdr:colOff>
      <xdr:row>29</xdr:row>
      <xdr:rowOff>76200</xdr:rowOff>
    </xdr:to>
    <xdr:sp macro="" textlink="">
      <xdr:nvSpPr>
        <xdr:cNvPr id="563" name="Text Box 573">
          <a:extLst>
            <a:ext uri="{FF2B5EF4-FFF2-40B4-BE49-F238E27FC236}">
              <a16:creationId xmlns:a16="http://schemas.microsoft.com/office/drawing/2014/main" id="{00000000-0008-0000-0000-000033020000}"/>
            </a:ext>
          </a:extLst>
        </xdr:cNvPr>
        <xdr:cNvSpPr txBox="1">
          <a:spLocks noChangeArrowheads="1"/>
        </xdr:cNvSpPr>
      </xdr:nvSpPr>
      <xdr:spPr bwMode="auto">
        <a:xfrm>
          <a:off x="1095375" y="52959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xdr:row>
      <xdr:rowOff>76200</xdr:rowOff>
    </xdr:from>
    <xdr:to>
      <xdr:col>1</xdr:col>
      <xdr:colOff>76200</xdr:colOff>
      <xdr:row>30</xdr:row>
      <xdr:rowOff>76200</xdr:rowOff>
    </xdr:to>
    <xdr:sp macro="" textlink="">
      <xdr:nvSpPr>
        <xdr:cNvPr id="564" name="Text Box 574">
          <a:extLst>
            <a:ext uri="{FF2B5EF4-FFF2-40B4-BE49-F238E27FC236}">
              <a16:creationId xmlns:a16="http://schemas.microsoft.com/office/drawing/2014/main" id="{00000000-0008-0000-0000-000034020000}"/>
            </a:ext>
          </a:extLst>
        </xdr:cNvPr>
        <xdr:cNvSpPr txBox="1">
          <a:spLocks noChangeArrowheads="1"/>
        </xdr:cNvSpPr>
      </xdr:nvSpPr>
      <xdr:spPr bwMode="auto">
        <a:xfrm>
          <a:off x="1095375" y="54959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xdr:row>
      <xdr:rowOff>76200</xdr:rowOff>
    </xdr:from>
    <xdr:to>
      <xdr:col>1</xdr:col>
      <xdr:colOff>76200</xdr:colOff>
      <xdr:row>30</xdr:row>
      <xdr:rowOff>76200</xdr:rowOff>
    </xdr:to>
    <xdr:sp macro="" textlink="">
      <xdr:nvSpPr>
        <xdr:cNvPr id="565" name="Text Box 575">
          <a:extLst>
            <a:ext uri="{FF2B5EF4-FFF2-40B4-BE49-F238E27FC236}">
              <a16:creationId xmlns:a16="http://schemas.microsoft.com/office/drawing/2014/main" id="{00000000-0008-0000-0000-000035020000}"/>
            </a:ext>
          </a:extLst>
        </xdr:cNvPr>
        <xdr:cNvSpPr txBox="1">
          <a:spLocks noChangeArrowheads="1"/>
        </xdr:cNvSpPr>
      </xdr:nvSpPr>
      <xdr:spPr bwMode="auto">
        <a:xfrm>
          <a:off x="1095375" y="54959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32</xdr:row>
      <xdr:rowOff>76200</xdr:rowOff>
    </xdr:from>
    <xdr:to>
      <xdr:col>1</xdr:col>
      <xdr:colOff>76200</xdr:colOff>
      <xdr:row>33</xdr:row>
      <xdr:rowOff>76200</xdr:rowOff>
    </xdr:to>
    <xdr:sp macro="" textlink="">
      <xdr:nvSpPr>
        <xdr:cNvPr id="566" name="Text Box 576">
          <a:extLst>
            <a:ext uri="{FF2B5EF4-FFF2-40B4-BE49-F238E27FC236}">
              <a16:creationId xmlns:a16="http://schemas.microsoft.com/office/drawing/2014/main" id="{00000000-0008-0000-0000-000036020000}"/>
            </a:ext>
          </a:extLst>
        </xdr:cNvPr>
        <xdr:cNvSpPr txBox="1">
          <a:spLocks noChangeArrowheads="1"/>
        </xdr:cNvSpPr>
      </xdr:nvSpPr>
      <xdr:spPr bwMode="auto">
        <a:xfrm>
          <a:off x="1095375" y="60960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22</xdr:row>
      <xdr:rowOff>76200</xdr:rowOff>
    </xdr:from>
    <xdr:to>
      <xdr:col>1</xdr:col>
      <xdr:colOff>76200</xdr:colOff>
      <xdr:row>23</xdr:row>
      <xdr:rowOff>76200</xdr:rowOff>
    </xdr:to>
    <xdr:sp macro="" textlink="">
      <xdr:nvSpPr>
        <xdr:cNvPr id="567" name="Text Box 577">
          <a:extLst>
            <a:ext uri="{FF2B5EF4-FFF2-40B4-BE49-F238E27FC236}">
              <a16:creationId xmlns:a16="http://schemas.microsoft.com/office/drawing/2014/main" id="{00000000-0008-0000-0000-000037020000}"/>
            </a:ext>
          </a:extLst>
        </xdr:cNvPr>
        <xdr:cNvSpPr txBox="1">
          <a:spLocks noChangeArrowheads="1"/>
        </xdr:cNvSpPr>
      </xdr:nvSpPr>
      <xdr:spPr bwMode="auto">
        <a:xfrm>
          <a:off x="1095375" y="4095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22</xdr:row>
      <xdr:rowOff>76200</xdr:rowOff>
    </xdr:from>
    <xdr:to>
      <xdr:col>1</xdr:col>
      <xdr:colOff>76200</xdr:colOff>
      <xdr:row>23</xdr:row>
      <xdr:rowOff>76200</xdr:rowOff>
    </xdr:to>
    <xdr:sp macro="" textlink="">
      <xdr:nvSpPr>
        <xdr:cNvPr id="568" name="Text Box 578">
          <a:extLst>
            <a:ext uri="{FF2B5EF4-FFF2-40B4-BE49-F238E27FC236}">
              <a16:creationId xmlns:a16="http://schemas.microsoft.com/office/drawing/2014/main" id="{00000000-0008-0000-0000-000038020000}"/>
            </a:ext>
          </a:extLst>
        </xdr:cNvPr>
        <xdr:cNvSpPr txBox="1">
          <a:spLocks noChangeArrowheads="1"/>
        </xdr:cNvSpPr>
      </xdr:nvSpPr>
      <xdr:spPr bwMode="auto">
        <a:xfrm>
          <a:off x="1095375" y="40957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25</xdr:row>
      <xdr:rowOff>76200</xdr:rowOff>
    </xdr:from>
    <xdr:to>
      <xdr:col>1</xdr:col>
      <xdr:colOff>76200</xdr:colOff>
      <xdr:row>26</xdr:row>
      <xdr:rowOff>76200</xdr:rowOff>
    </xdr:to>
    <xdr:sp macro="" textlink="">
      <xdr:nvSpPr>
        <xdr:cNvPr id="569" name="Text Box 579">
          <a:extLst>
            <a:ext uri="{FF2B5EF4-FFF2-40B4-BE49-F238E27FC236}">
              <a16:creationId xmlns:a16="http://schemas.microsoft.com/office/drawing/2014/main" id="{00000000-0008-0000-0000-000039020000}"/>
            </a:ext>
          </a:extLst>
        </xdr:cNvPr>
        <xdr:cNvSpPr txBox="1">
          <a:spLocks noChangeArrowheads="1"/>
        </xdr:cNvSpPr>
      </xdr:nvSpPr>
      <xdr:spPr bwMode="auto">
        <a:xfrm>
          <a:off x="1095375" y="46958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26</xdr:row>
      <xdr:rowOff>76200</xdr:rowOff>
    </xdr:from>
    <xdr:to>
      <xdr:col>1</xdr:col>
      <xdr:colOff>76200</xdr:colOff>
      <xdr:row>27</xdr:row>
      <xdr:rowOff>76200</xdr:rowOff>
    </xdr:to>
    <xdr:sp macro="" textlink="">
      <xdr:nvSpPr>
        <xdr:cNvPr id="570" name="Text Box 580">
          <a:extLst>
            <a:ext uri="{FF2B5EF4-FFF2-40B4-BE49-F238E27FC236}">
              <a16:creationId xmlns:a16="http://schemas.microsoft.com/office/drawing/2014/main" id="{00000000-0008-0000-0000-00003A020000}"/>
            </a:ext>
          </a:extLst>
        </xdr:cNvPr>
        <xdr:cNvSpPr txBox="1">
          <a:spLocks noChangeArrowheads="1"/>
        </xdr:cNvSpPr>
      </xdr:nvSpPr>
      <xdr:spPr bwMode="auto">
        <a:xfrm>
          <a:off x="1095375" y="4895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26</xdr:row>
      <xdr:rowOff>76200</xdr:rowOff>
    </xdr:from>
    <xdr:to>
      <xdr:col>1</xdr:col>
      <xdr:colOff>76200</xdr:colOff>
      <xdr:row>27</xdr:row>
      <xdr:rowOff>76200</xdr:rowOff>
    </xdr:to>
    <xdr:sp macro="" textlink="">
      <xdr:nvSpPr>
        <xdr:cNvPr id="571" name="Text Box 581">
          <a:extLst>
            <a:ext uri="{FF2B5EF4-FFF2-40B4-BE49-F238E27FC236}">
              <a16:creationId xmlns:a16="http://schemas.microsoft.com/office/drawing/2014/main" id="{00000000-0008-0000-0000-00003B020000}"/>
            </a:ext>
          </a:extLst>
        </xdr:cNvPr>
        <xdr:cNvSpPr txBox="1">
          <a:spLocks noChangeArrowheads="1"/>
        </xdr:cNvSpPr>
      </xdr:nvSpPr>
      <xdr:spPr bwMode="auto">
        <a:xfrm>
          <a:off x="1095375" y="4895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72" name="Text Box 582">
          <a:extLst>
            <a:ext uri="{FF2B5EF4-FFF2-40B4-BE49-F238E27FC236}">
              <a16:creationId xmlns:a16="http://schemas.microsoft.com/office/drawing/2014/main" id="{00000000-0008-0000-0000-00003C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73" name="Text Box 583">
          <a:extLst>
            <a:ext uri="{FF2B5EF4-FFF2-40B4-BE49-F238E27FC236}">
              <a16:creationId xmlns:a16="http://schemas.microsoft.com/office/drawing/2014/main" id="{00000000-0008-0000-0000-00003D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xdr:row>
      <xdr:rowOff>76200</xdr:rowOff>
    </xdr:from>
    <xdr:to>
      <xdr:col>1</xdr:col>
      <xdr:colOff>76200</xdr:colOff>
      <xdr:row>30</xdr:row>
      <xdr:rowOff>76200</xdr:rowOff>
    </xdr:to>
    <xdr:sp macro="" textlink="">
      <xdr:nvSpPr>
        <xdr:cNvPr id="574" name="Text Box 584">
          <a:extLst>
            <a:ext uri="{FF2B5EF4-FFF2-40B4-BE49-F238E27FC236}">
              <a16:creationId xmlns:a16="http://schemas.microsoft.com/office/drawing/2014/main" id="{00000000-0008-0000-0000-00003E020000}"/>
            </a:ext>
          </a:extLst>
        </xdr:cNvPr>
        <xdr:cNvSpPr txBox="1">
          <a:spLocks noChangeArrowheads="1"/>
        </xdr:cNvSpPr>
      </xdr:nvSpPr>
      <xdr:spPr bwMode="auto">
        <a:xfrm>
          <a:off x="1095375" y="54959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30</xdr:row>
      <xdr:rowOff>76200</xdr:rowOff>
    </xdr:from>
    <xdr:to>
      <xdr:col>1</xdr:col>
      <xdr:colOff>76200</xdr:colOff>
      <xdr:row>31</xdr:row>
      <xdr:rowOff>76200</xdr:rowOff>
    </xdr:to>
    <xdr:sp macro="" textlink="">
      <xdr:nvSpPr>
        <xdr:cNvPr id="575" name="Text Box 585">
          <a:extLst>
            <a:ext uri="{FF2B5EF4-FFF2-40B4-BE49-F238E27FC236}">
              <a16:creationId xmlns:a16="http://schemas.microsoft.com/office/drawing/2014/main" id="{00000000-0008-0000-0000-00003F020000}"/>
            </a:ext>
          </a:extLst>
        </xdr:cNvPr>
        <xdr:cNvSpPr txBox="1">
          <a:spLocks noChangeArrowheads="1"/>
        </xdr:cNvSpPr>
      </xdr:nvSpPr>
      <xdr:spPr bwMode="auto">
        <a:xfrm>
          <a:off x="1095375" y="56959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30</xdr:row>
      <xdr:rowOff>76200</xdr:rowOff>
    </xdr:from>
    <xdr:to>
      <xdr:col>1</xdr:col>
      <xdr:colOff>76200</xdr:colOff>
      <xdr:row>31</xdr:row>
      <xdr:rowOff>76200</xdr:rowOff>
    </xdr:to>
    <xdr:sp macro="" textlink="">
      <xdr:nvSpPr>
        <xdr:cNvPr id="576" name="Text Box 586">
          <a:extLst>
            <a:ext uri="{FF2B5EF4-FFF2-40B4-BE49-F238E27FC236}">
              <a16:creationId xmlns:a16="http://schemas.microsoft.com/office/drawing/2014/main" id="{00000000-0008-0000-0000-000040020000}"/>
            </a:ext>
          </a:extLst>
        </xdr:cNvPr>
        <xdr:cNvSpPr txBox="1">
          <a:spLocks noChangeArrowheads="1"/>
        </xdr:cNvSpPr>
      </xdr:nvSpPr>
      <xdr:spPr bwMode="auto">
        <a:xfrm>
          <a:off x="1095375" y="56959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190500</xdr:colOff>
      <xdr:row>60</xdr:row>
      <xdr:rowOff>161925</xdr:rowOff>
    </xdr:from>
    <xdr:to>
      <xdr:col>0</xdr:col>
      <xdr:colOff>809625</xdr:colOff>
      <xdr:row>61</xdr:row>
      <xdr:rowOff>133350</xdr:rowOff>
    </xdr:to>
    <xdr:grpSp>
      <xdr:nvGrpSpPr>
        <xdr:cNvPr id="577" name="Group 591">
          <a:extLst>
            <a:ext uri="{FF2B5EF4-FFF2-40B4-BE49-F238E27FC236}">
              <a16:creationId xmlns:a16="http://schemas.microsoft.com/office/drawing/2014/main" id="{00000000-0008-0000-0000-000041020000}"/>
            </a:ext>
          </a:extLst>
        </xdr:cNvPr>
        <xdr:cNvGrpSpPr>
          <a:grpSpLocks/>
        </xdr:cNvGrpSpPr>
      </xdr:nvGrpSpPr>
      <xdr:grpSpPr bwMode="auto">
        <a:xfrm>
          <a:off x="190500" y="11772900"/>
          <a:ext cx="619125" cy="171450"/>
          <a:chOff x="20" y="1299"/>
          <a:chExt cx="65" cy="18"/>
        </a:xfrm>
      </xdr:grpSpPr>
      <xdr:sp macro="" textlink="">
        <xdr:nvSpPr>
          <xdr:cNvPr id="578" name="Line 587">
            <a:extLst>
              <a:ext uri="{FF2B5EF4-FFF2-40B4-BE49-F238E27FC236}">
                <a16:creationId xmlns:a16="http://schemas.microsoft.com/office/drawing/2014/main" id="{00000000-0008-0000-0000-000042020000}"/>
              </a:ext>
            </a:extLst>
          </xdr:cNvPr>
          <xdr:cNvSpPr>
            <a:spLocks noChangeShapeType="1"/>
          </xdr:cNvSpPr>
        </xdr:nvSpPr>
        <xdr:spPr bwMode="auto">
          <a:xfrm>
            <a:off x="20" y="1300"/>
            <a:ext cx="6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9" name="Line 588">
            <a:extLst>
              <a:ext uri="{FF2B5EF4-FFF2-40B4-BE49-F238E27FC236}">
                <a16:creationId xmlns:a16="http://schemas.microsoft.com/office/drawing/2014/main" id="{00000000-0008-0000-0000-000043020000}"/>
              </a:ext>
            </a:extLst>
          </xdr:cNvPr>
          <xdr:cNvSpPr>
            <a:spLocks noChangeShapeType="1"/>
          </xdr:cNvSpPr>
        </xdr:nvSpPr>
        <xdr:spPr bwMode="auto">
          <a:xfrm>
            <a:off x="20" y="1311"/>
            <a:ext cx="6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0" name="Oval 589">
            <a:extLst>
              <a:ext uri="{FF2B5EF4-FFF2-40B4-BE49-F238E27FC236}">
                <a16:creationId xmlns:a16="http://schemas.microsoft.com/office/drawing/2014/main" id="{00000000-0008-0000-0000-000044020000}"/>
              </a:ext>
            </a:extLst>
          </xdr:cNvPr>
          <xdr:cNvSpPr>
            <a:spLocks noChangeArrowheads="1"/>
          </xdr:cNvSpPr>
        </xdr:nvSpPr>
        <xdr:spPr bwMode="auto">
          <a:xfrm>
            <a:off x="46" y="1302"/>
            <a:ext cx="13" cy="8"/>
          </a:xfrm>
          <a:prstGeom prst="ellipse">
            <a:avLst/>
          </a:prstGeom>
          <a:solidFill>
            <a:srgbClr val="FF9900">
              <a:alpha val="81960"/>
            </a:srgbClr>
          </a:solidFill>
          <a:ln w="9525" algn="ctr">
            <a:solidFill>
              <a:srgbClr val="000000"/>
            </a:solidFill>
            <a:round/>
            <a:headEnd/>
            <a:tailEnd/>
          </a:ln>
        </xdr:spPr>
      </xdr:sp>
      <xdr:sp macro="" textlink="">
        <xdr:nvSpPr>
          <xdr:cNvPr id="581" name="Line 590">
            <a:extLst>
              <a:ext uri="{FF2B5EF4-FFF2-40B4-BE49-F238E27FC236}">
                <a16:creationId xmlns:a16="http://schemas.microsoft.com/office/drawing/2014/main" id="{00000000-0008-0000-0000-000045020000}"/>
              </a:ext>
            </a:extLst>
          </xdr:cNvPr>
          <xdr:cNvSpPr>
            <a:spLocks noChangeShapeType="1"/>
          </xdr:cNvSpPr>
        </xdr:nvSpPr>
        <xdr:spPr bwMode="auto">
          <a:xfrm>
            <a:off x="53" y="1299"/>
            <a:ext cx="0" cy="1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66675</xdr:colOff>
      <xdr:row>6</xdr:row>
      <xdr:rowOff>38100</xdr:rowOff>
    </xdr:from>
    <xdr:to>
      <xdr:col>4</xdr:col>
      <xdr:colOff>200025</xdr:colOff>
      <xdr:row>6</xdr:row>
      <xdr:rowOff>114300</xdr:rowOff>
    </xdr:to>
    <xdr:sp macro="" textlink="">
      <xdr:nvSpPr>
        <xdr:cNvPr id="582" name="Rectangle 592">
          <a:extLst>
            <a:ext uri="{FF2B5EF4-FFF2-40B4-BE49-F238E27FC236}">
              <a16:creationId xmlns:a16="http://schemas.microsoft.com/office/drawing/2014/main" id="{00000000-0008-0000-0000-000046020000}"/>
            </a:ext>
          </a:extLst>
        </xdr:cNvPr>
        <xdr:cNvSpPr>
          <a:spLocks noChangeArrowheads="1"/>
        </xdr:cNvSpPr>
      </xdr:nvSpPr>
      <xdr:spPr bwMode="auto">
        <a:xfrm>
          <a:off x="3162300" y="1114425"/>
          <a:ext cx="133350" cy="76200"/>
        </a:xfrm>
        <a:prstGeom prst="rect">
          <a:avLst/>
        </a:prstGeom>
        <a:solidFill>
          <a:srgbClr val="FF0000"/>
        </a:solidFill>
        <a:ln w="9525">
          <a:solidFill>
            <a:srgbClr val="000000"/>
          </a:solidFill>
          <a:miter lim="800000"/>
          <a:headEnd/>
          <a:tailEnd/>
        </a:ln>
      </xdr:spPr>
    </xdr:sp>
    <xdr:clientData/>
  </xdr:twoCellAnchor>
  <xdr:twoCellAnchor>
    <xdr:from>
      <xdr:col>9</xdr:col>
      <xdr:colOff>57150</xdr:colOff>
      <xdr:row>5</xdr:row>
      <xdr:rowOff>47625</xdr:rowOff>
    </xdr:from>
    <xdr:to>
      <xdr:col>9</xdr:col>
      <xdr:colOff>190500</xdr:colOff>
      <xdr:row>5</xdr:row>
      <xdr:rowOff>123825</xdr:rowOff>
    </xdr:to>
    <xdr:sp macro="" textlink="">
      <xdr:nvSpPr>
        <xdr:cNvPr id="583" name="Rectangle 593">
          <a:extLst>
            <a:ext uri="{FF2B5EF4-FFF2-40B4-BE49-F238E27FC236}">
              <a16:creationId xmlns:a16="http://schemas.microsoft.com/office/drawing/2014/main" id="{00000000-0008-0000-0000-000047020000}"/>
            </a:ext>
          </a:extLst>
        </xdr:cNvPr>
        <xdr:cNvSpPr>
          <a:spLocks noChangeArrowheads="1"/>
        </xdr:cNvSpPr>
      </xdr:nvSpPr>
      <xdr:spPr bwMode="auto">
        <a:xfrm>
          <a:off x="7105650" y="971550"/>
          <a:ext cx="133350" cy="76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57150</xdr:colOff>
      <xdr:row>6</xdr:row>
      <xdr:rowOff>47625</xdr:rowOff>
    </xdr:from>
    <xdr:to>
      <xdr:col>9</xdr:col>
      <xdr:colOff>190500</xdr:colOff>
      <xdr:row>6</xdr:row>
      <xdr:rowOff>123825</xdr:rowOff>
    </xdr:to>
    <xdr:sp macro="" textlink="">
      <xdr:nvSpPr>
        <xdr:cNvPr id="584" name="Rectangle 594">
          <a:extLst>
            <a:ext uri="{FF2B5EF4-FFF2-40B4-BE49-F238E27FC236}">
              <a16:creationId xmlns:a16="http://schemas.microsoft.com/office/drawing/2014/main" id="{00000000-0008-0000-0000-000048020000}"/>
            </a:ext>
          </a:extLst>
        </xdr:cNvPr>
        <xdr:cNvSpPr>
          <a:spLocks noChangeArrowheads="1"/>
        </xdr:cNvSpPr>
      </xdr:nvSpPr>
      <xdr:spPr bwMode="auto">
        <a:xfrm>
          <a:off x="7105650" y="1123950"/>
          <a:ext cx="133350" cy="76200"/>
        </a:xfrm>
        <a:prstGeom prst="rect">
          <a:avLst/>
        </a:prstGeom>
        <a:solidFill>
          <a:srgbClr val="FF0000"/>
        </a:solidFill>
        <a:ln w="9525">
          <a:solidFill>
            <a:srgbClr val="000000"/>
          </a:solidFill>
          <a:miter lim="800000"/>
          <a:headEnd/>
          <a:tailEnd/>
        </a:ln>
      </xdr:spPr>
    </xdr:sp>
    <xdr:clientData/>
  </xdr:twoCellAnchor>
  <xdr:twoCellAnchor editAs="oneCell">
    <xdr:from>
      <xdr:col>1</xdr:col>
      <xdr:colOff>0</xdr:colOff>
      <xdr:row>26</xdr:row>
      <xdr:rowOff>0</xdr:rowOff>
    </xdr:from>
    <xdr:to>
      <xdr:col>1</xdr:col>
      <xdr:colOff>76200</xdr:colOff>
      <xdr:row>27</xdr:row>
      <xdr:rowOff>0</xdr:rowOff>
    </xdr:to>
    <xdr:sp macro="" textlink="">
      <xdr:nvSpPr>
        <xdr:cNvPr id="585" name="Text Box 595">
          <a:extLst>
            <a:ext uri="{FF2B5EF4-FFF2-40B4-BE49-F238E27FC236}">
              <a16:creationId xmlns:a16="http://schemas.microsoft.com/office/drawing/2014/main" id="{00000000-0008-0000-0000-000049020000}"/>
            </a:ext>
          </a:extLst>
        </xdr:cNvPr>
        <xdr:cNvSpPr txBox="1">
          <a:spLocks noChangeArrowheads="1"/>
        </xdr:cNvSpPr>
      </xdr:nvSpPr>
      <xdr:spPr bwMode="auto">
        <a:xfrm>
          <a:off x="1095375" y="4819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23</xdr:row>
      <xdr:rowOff>76200</xdr:rowOff>
    </xdr:from>
    <xdr:to>
      <xdr:col>1</xdr:col>
      <xdr:colOff>76200</xdr:colOff>
      <xdr:row>24</xdr:row>
      <xdr:rowOff>76200</xdr:rowOff>
    </xdr:to>
    <xdr:sp macro="" textlink="">
      <xdr:nvSpPr>
        <xdr:cNvPr id="586" name="Text Box 596">
          <a:extLst>
            <a:ext uri="{FF2B5EF4-FFF2-40B4-BE49-F238E27FC236}">
              <a16:creationId xmlns:a16="http://schemas.microsoft.com/office/drawing/2014/main" id="{00000000-0008-0000-0000-00004A020000}"/>
            </a:ext>
          </a:extLst>
        </xdr:cNvPr>
        <xdr:cNvSpPr txBox="1">
          <a:spLocks noChangeArrowheads="1"/>
        </xdr:cNvSpPr>
      </xdr:nvSpPr>
      <xdr:spPr bwMode="auto">
        <a:xfrm>
          <a:off x="1095375" y="42957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26</xdr:row>
      <xdr:rowOff>0</xdr:rowOff>
    </xdr:from>
    <xdr:to>
      <xdr:col>1</xdr:col>
      <xdr:colOff>76200</xdr:colOff>
      <xdr:row>27</xdr:row>
      <xdr:rowOff>0</xdr:rowOff>
    </xdr:to>
    <xdr:sp macro="" textlink="">
      <xdr:nvSpPr>
        <xdr:cNvPr id="587" name="Text Box 597">
          <a:extLst>
            <a:ext uri="{FF2B5EF4-FFF2-40B4-BE49-F238E27FC236}">
              <a16:creationId xmlns:a16="http://schemas.microsoft.com/office/drawing/2014/main" id="{00000000-0008-0000-0000-00004B020000}"/>
            </a:ext>
          </a:extLst>
        </xdr:cNvPr>
        <xdr:cNvSpPr txBox="1">
          <a:spLocks noChangeArrowheads="1"/>
        </xdr:cNvSpPr>
      </xdr:nvSpPr>
      <xdr:spPr bwMode="auto">
        <a:xfrm>
          <a:off x="1095375" y="4819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24</xdr:row>
      <xdr:rowOff>76200</xdr:rowOff>
    </xdr:from>
    <xdr:to>
      <xdr:col>1</xdr:col>
      <xdr:colOff>76200</xdr:colOff>
      <xdr:row>25</xdr:row>
      <xdr:rowOff>76200</xdr:rowOff>
    </xdr:to>
    <xdr:sp macro="" textlink="">
      <xdr:nvSpPr>
        <xdr:cNvPr id="588" name="Text Box 598">
          <a:extLst>
            <a:ext uri="{FF2B5EF4-FFF2-40B4-BE49-F238E27FC236}">
              <a16:creationId xmlns:a16="http://schemas.microsoft.com/office/drawing/2014/main" id="{00000000-0008-0000-0000-00004C020000}"/>
            </a:ext>
          </a:extLst>
        </xdr:cNvPr>
        <xdr:cNvSpPr txBox="1">
          <a:spLocks noChangeArrowheads="1"/>
        </xdr:cNvSpPr>
      </xdr:nvSpPr>
      <xdr:spPr bwMode="auto">
        <a:xfrm>
          <a:off x="1095375" y="4495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24</xdr:row>
      <xdr:rowOff>76200</xdr:rowOff>
    </xdr:from>
    <xdr:to>
      <xdr:col>1</xdr:col>
      <xdr:colOff>76200</xdr:colOff>
      <xdr:row>25</xdr:row>
      <xdr:rowOff>76200</xdr:rowOff>
    </xdr:to>
    <xdr:sp macro="" textlink="">
      <xdr:nvSpPr>
        <xdr:cNvPr id="589" name="Text Box 599">
          <a:extLst>
            <a:ext uri="{FF2B5EF4-FFF2-40B4-BE49-F238E27FC236}">
              <a16:creationId xmlns:a16="http://schemas.microsoft.com/office/drawing/2014/main" id="{00000000-0008-0000-0000-00004D020000}"/>
            </a:ext>
          </a:extLst>
        </xdr:cNvPr>
        <xdr:cNvSpPr txBox="1">
          <a:spLocks noChangeArrowheads="1"/>
        </xdr:cNvSpPr>
      </xdr:nvSpPr>
      <xdr:spPr bwMode="auto">
        <a:xfrm>
          <a:off x="1095375" y="4495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25</xdr:row>
      <xdr:rowOff>76200</xdr:rowOff>
    </xdr:from>
    <xdr:to>
      <xdr:col>1</xdr:col>
      <xdr:colOff>76200</xdr:colOff>
      <xdr:row>26</xdr:row>
      <xdr:rowOff>76200</xdr:rowOff>
    </xdr:to>
    <xdr:sp macro="" textlink="">
      <xdr:nvSpPr>
        <xdr:cNvPr id="590" name="Text Box 600">
          <a:extLst>
            <a:ext uri="{FF2B5EF4-FFF2-40B4-BE49-F238E27FC236}">
              <a16:creationId xmlns:a16="http://schemas.microsoft.com/office/drawing/2014/main" id="{00000000-0008-0000-0000-00004E020000}"/>
            </a:ext>
          </a:extLst>
        </xdr:cNvPr>
        <xdr:cNvSpPr txBox="1">
          <a:spLocks noChangeArrowheads="1"/>
        </xdr:cNvSpPr>
      </xdr:nvSpPr>
      <xdr:spPr bwMode="auto">
        <a:xfrm>
          <a:off x="1095375" y="46958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25</xdr:row>
      <xdr:rowOff>76200</xdr:rowOff>
    </xdr:from>
    <xdr:to>
      <xdr:col>1</xdr:col>
      <xdr:colOff>76200</xdr:colOff>
      <xdr:row>26</xdr:row>
      <xdr:rowOff>76200</xdr:rowOff>
    </xdr:to>
    <xdr:sp macro="" textlink="">
      <xdr:nvSpPr>
        <xdr:cNvPr id="591" name="Text Box 601">
          <a:extLst>
            <a:ext uri="{FF2B5EF4-FFF2-40B4-BE49-F238E27FC236}">
              <a16:creationId xmlns:a16="http://schemas.microsoft.com/office/drawing/2014/main" id="{00000000-0008-0000-0000-00004F020000}"/>
            </a:ext>
          </a:extLst>
        </xdr:cNvPr>
        <xdr:cNvSpPr txBox="1">
          <a:spLocks noChangeArrowheads="1"/>
        </xdr:cNvSpPr>
      </xdr:nvSpPr>
      <xdr:spPr bwMode="auto">
        <a:xfrm>
          <a:off x="1095375" y="46958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92" name="Text Box 602">
          <a:extLst>
            <a:ext uri="{FF2B5EF4-FFF2-40B4-BE49-F238E27FC236}">
              <a16:creationId xmlns:a16="http://schemas.microsoft.com/office/drawing/2014/main" id="{00000000-0008-0000-0000-000050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26</xdr:row>
      <xdr:rowOff>76200</xdr:rowOff>
    </xdr:from>
    <xdr:to>
      <xdr:col>1</xdr:col>
      <xdr:colOff>76200</xdr:colOff>
      <xdr:row>27</xdr:row>
      <xdr:rowOff>76200</xdr:rowOff>
    </xdr:to>
    <xdr:sp macro="" textlink="">
      <xdr:nvSpPr>
        <xdr:cNvPr id="593" name="Text Box 603">
          <a:extLst>
            <a:ext uri="{FF2B5EF4-FFF2-40B4-BE49-F238E27FC236}">
              <a16:creationId xmlns:a16="http://schemas.microsoft.com/office/drawing/2014/main" id="{00000000-0008-0000-0000-000051020000}"/>
            </a:ext>
          </a:extLst>
        </xdr:cNvPr>
        <xdr:cNvSpPr txBox="1">
          <a:spLocks noChangeArrowheads="1"/>
        </xdr:cNvSpPr>
      </xdr:nvSpPr>
      <xdr:spPr bwMode="auto">
        <a:xfrm>
          <a:off x="1095375" y="4895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94" name="Text Box 604">
          <a:extLst>
            <a:ext uri="{FF2B5EF4-FFF2-40B4-BE49-F238E27FC236}">
              <a16:creationId xmlns:a16="http://schemas.microsoft.com/office/drawing/2014/main" id="{00000000-0008-0000-0000-000052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95" name="Text Box 605">
          <a:extLst>
            <a:ext uri="{FF2B5EF4-FFF2-40B4-BE49-F238E27FC236}">
              <a16:creationId xmlns:a16="http://schemas.microsoft.com/office/drawing/2014/main" id="{00000000-0008-0000-0000-000053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96" name="Text Box 606">
          <a:extLst>
            <a:ext uri="{FF2B5EF4-FFF2-40B4-BE49-F238E27FC236}">
              <a16:creationId xmlns:a16="http://schemas.microsoft.com/office/drawing/2014/main" id="{00000000-0008-0000-0000-000054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97" name="Text Box 607">
          <a:extLst>
            <a:ext uri="{FF2B5EF4-FFF2-40B4-BE49-F238E27FC236}">
              <a16:creationId xmlns:a16="http://schemas.microsoft.com/office/drawing/2014/main" id="{00000000-0008-0000-0000-000055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0</xdr:rowOff>
    </xdr:from>
    <xdr:to>
      <xdr:col>1</xdr:col>
      <xdr:colOff>76200</xdr:colOff>
      <xdr:row>29</xdr:row>
      <xdr:rowOff>0</xdr:rowOff>
    </xdr:to>
    <xdr:sp macro="" textlink="">
      <xdr:nvSpPr>
        <xdr:cNvPr id="598" name="Text Box 608">
          <a:extLst>
            <a:ext uri="{FF2B5EF4-FFF2-40B4-BE49-F238E27FC236}">
              <a16:creationId xmlns:a16="http://schemas.microsoft.com/office/drawing/2014/main" id="{00000000-0008-0000-0000-000056020000}"/>
            </a:ext>
          </a:extLst>
        </xdr:cNvPr>
        <xdr:cNvSpPr txBox="1">
          <a:spLocks noChangeArrowheads="1"/>
        </xdr:cNvSpPr>
      </xdr:nvSpPr>
      <xdr:spPr bwMode="auto">
        <a:xfrm>
          <a:off x="1095375" y="5219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xdr:row>
      <xdr:rowOff>0</xdr:rowOff>
    </xdr:from>
    <xdr:to>
      <xdr:col>1</xdr:col>
      <xdr:colOff>76200</xdr:colOff>
      <xdr:row>32</xdr:row>
      <xdr:rowOff>0</xdr:rowOff>
    </xdr:to>
    <xdr:sp macro="" textlink="">
      <xdr:nvSpPr>
        <xdr:cNvPr id="599" name="Text Box 609">
          <a:extLst>
            <a:ext uri="{FF2B5EF4-FFF2-40B4-BE49-F238E27FC236}">
              <a16:creationId xmlns:a16="http://schemas.microsoft.com/office/drawing/2014/main" id="{00000000-0008-0000-0000-000057020000}"/>
            </a:ext>
          </a:extLst>
        </xdr:cNvPr>
        <xdr:cNvSpPr txBox="1">
          <a:spLocks noChangeArrowheads="1"/>
        </xdr:cNvSpPr>
      </xdr:nvSpPr>
      <xdr:spPr bwMode="auto">
        <a:xfrm>
          <a:off x="1095375" y="58197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76200</xdr:rowOff>
    </xdr:from>
    <xdr:to>
      <xdr:col>1</xdr:col>
      <xdr:colOff>76200</xdr:colOff>
      <xdr:row>29</xdr:row>
      <xdr:rowOff>76200</xdr:rowOff>
    </xdr:to>
    <xdr:sp macro="" textlink="">
      <xdr:nvSpPr>
        <xdr:cNvPr id="600" name="Text Box 610">
          <a:extLst>
            <a:ext uri="{FF2B5EF4-FFF2-40B4-BE49-F238E27FC236}">
              <a16:creationId xmlns:a16="http://schemas.microsoft.com/office/drawing/2014/main" id="{00000000-0008-0000-0000-000058020000}"/>
            </a:ext>
          </a:extLst>
        </xdr:cNvPr>
        <xdr:cNvSpPr txBox="1">
          <a:spLocks noChangeArrowheads="1"/>
        </xdr:cNvSpPr>
      </xdr:nvSpPr>
      <xdr:spPr bwMode="auto">
        <a:xfrm>
          <a:off x="1095375" y="52959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xdr:row>
      <xdr:rowOff>0</xdr:rowOff>
    </xdr:from>
    <xdr:to>
      <xdr:col>1</xdr:col>
      <xdr:colOff>76200</xdr:colOff>
      <xdr:row>32</xdr:row>
      <xdr:rowOff>0</xdr:rowOff>
    </xdr:to>
    <xdr:sp macro="" textlink="">
      <xdr:nvSpPr>
        <xdr:cNvPr id="601" name="Text Box 611">
          <a:extLst>
            <a:ext uri="{FF2B5EF4-FFF2-40B4-BE49-F238E27FC236}">
              <a16:creationId xmlns:a16="http://schemas.microsoft.com/office/drawing/2014/main" id="{00000000-0008-0000-0000-000059020000}"/>
            </a:ext>
          </a:extLst>
        </xdr:cNvPr>
        <xdr:cNvSpPr txBox="1">
          <a:spLocks noChangeArrowheads="1"/>
        </xdr:cNvSpPr>
      </xdr:nvSpPr>
      <xdr:spPr bwMode="auto">
        <a:xfrm>
          <a:off x="1095375" y="58197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xdr:row>
      <xdr:rowOff>76200</xdr:rowOff>
    </xdr:from>
    <xdr:to>
      <xdr:col>1</xdr:col>
      <xdr:colOff>76200</xdr:colOff>
      <xdr:row>30</xdr:row>
      <xdr:rowOff>76200</xdr:rowOff>
    </xdr:to>
    <xdr:sp macro="" textlink="">
      <xdr:nvSpPr>
        <xdr:cNvPr id="602" name="Text Box 612">
          <a:extLst>
            <a:ext uri="{FF2B5EF4-FFF2-40B4-BE49-F238E27FC236}">
              <a16:creationId xmlns:a16="http://schemas.microsoft.com/office/drawing/2014/main" id="{00000000-0008-0000-0000-00005A020000}"/>
            </a:ext>
          </a:extLst>
        </xdr:cNvPr>
        <xdr:cNvSpPr txBox="1">
          <a:spLocks noChangeArrowheads="1"/>
        </xdr:cNvSpPr>
      </xdr:nvSpPr>
      <xdr:spPr bwMode="auto">
        <a:xfrm>
          <a:off x="1095375" y="54959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xdr:row>
      <xdr:rowOff>76200</xdr:rowOff>
    </xdr:from>
    <xdr:to>
      <xdr:col>1</xdr:col>
      <xdr:colOff>76200</xdr:colOff>
      <xdr:row>30</xdr:row>
      <xdr:rowOff>76200</xdr:rowOff>
    </xdr:to>
    <xdr:sp macro="" textlink="">
      <xdr:nvSpPr>
        <xdr:cNvPr id="603" name="Text Box 613">
          <a:extLst>
            <a:ext uri="{FF2B5EF4-FFF2-40B4-BE49-F238E27FC236}">
              <a16:creationId xmlns:a16="http://schemas.microsoft.com/office/drawing/2014/main" id="{00000000-0008-0000-0000-00005B020000}"/>
            </a:ext>
          </a:extLst>
        </xdr:cNvPr>
        <xdr:cNvSpPr txBox="1">
          <a:spLocks noChangeArrowheads="1"/>
        </xdr:cNvSpPr>
      </xdr:nvSpPr>
      <xdr:spPr bwMode="auto">
        <a:xfrm>
          <a:off x="1095375" y="54959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30</xdr:row>
      <xdr:rowOff>76200</xdr:rowOff>
    </xdr:from>
    <xdr:to>
      <xdr:col>1</xdr:col>
      <xdr:colOff>76200</xdr:colOff>
      <xdr:row>31</xdr:row>
      <xdr:rowOff>76200</xdr:rowOff>
    </xdr:to>
    <xdr:sp macro="" textlink="">
      <xdr:nvSpPr>
        <xdr:cNvPr id="604" name="Text Box 614">
          <a:extLst>
            <a:ext uri="{FF2B5EF4-FFF2-40B4-BE49-F238E27FC236}">
              <a16:creationId xmlns:a16="http://schemas.microsoft.com/office/drawing/2014/main" id="{00000000-0008-0000-0000-00005C020000}"/>
            </a:ext>
          </a:extLst>
        </xdr:cNvPr>
        <xdr:cNvSpPr txBox="1">
          <a:spLocks noChangeArrowheads="1"/>
        </xdr:cNvSpPr>
      </xdr:nvSpPr>
      <xdr:spPr bwMode="auto">
        <a:xfrm>
          <a:off x="1095375" y="56959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30</xdr:row>
      <xdr:rowOff>76200</xdr:rowOff>
    </xdr:from>
    <xdr:to>
      <xdr:col>1</xdr:col>
      <xdr:colOff>76200</xdr:colOff>
      <xdr:row>31</xdr:row>
      <xdr:rowOff>76200</xdr:rowOff>
    </xdr:to>
    <xdr:sp macro="" textlink="">
      <xdr:nvSpPr>
        <xdr:cNvPr id="605" name="Text Box 615">
          <a:extLst>
            <a:ext uri="{FF2B5EF4-FFF2-40B4-BE49-F238E27FC236}">
              <a16:creationId xmlns:a16="http://schemas.microsoft.com/office/drawing/2014/main" id="{00000000-0008-0000-0000-00005D020000}"/>
            </a:ext>
          </a:extLst>
        </xdr:cNvPr>
        <xdr:cNvSpPr txBox="1">
          <a:spLocks noChangeArrowheads="1"/>
        </xdr:cNvSpPr>
      </xdr:nvSpPr>
      <xdr:spPr bwMode="auto">
        <a:xfrm>
          <a:off x="1095375" y="56959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76200</xdr:rowOff>
    </xdr:from>
    <xdr:to>
      <xdr:col>1</xdr:col>
      <xdr:colOff>76200</xdr:colOff>
      <xdr:row>21</xdr:row>
      <xdr:rowOff>76200</xdr:rowOff>
    </xdr:to>
    <xdr:sp macro="" textlink="">
      <xdr:nvSpPr>
        <xdr:cNvPr id="606" name="Text Box 616">
          <a:extLst>
            <a:ext uri="{FF2B5EF4-FFF2-40B4-BE49-F238E27FC236}">
              <a16:creationId xmlns:a16="http://schemas.microsoft.com/office/drawing/2014/main" id="{00000000-0008-0000-0000-00005E020000}"/>
            </a:ext>
          </a:extLst>
        </xdr:cNvPr>
        <xdr:cNvSpPr txBox="1">
          <a:spLocks noChangeArrowheads="1"/>
        </xdr:cNvSpPr>
      </xdr:nvSpPr>
      <xdr:spPr bwMode="auto">
        <a:xfrm>
          <a:off x="1095375" y="3695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76200</xdr:rowOff>
    </xdr:from>
    <xdr:to>
      <xdr:col>1</xdr:col>
      <xdr:colOff>76200</xdr:colOff>
      <xdr:row>21</xdr:row>
      <xdr:rowOff>76200</xdr:rowOff>
    </xdr:to>
    <xdr:sp macro="" textlink="">
      <xdr:nvSpPr>
        <xdr:cNvPr id="607" name="Text Box 617">
          <a:extLst>
            <a:ext uri="{FF2B5EF4-FFF2-40B4-BE49-F238E27FC236}">
              <a16:creationId xmlns:a16="http://schemas.microsoft.com/office/drawing/2014/main" id="{00000000-0008-0000-0000-00005F020000}"/>
            </a:ext>
          </a:extLst>
        </xdr:cNvPr>
        <xdr:cNvSpPr txBox="1">
          <a:spLocks noChangeArrowheads="1"/>
        </xdr:cNvSpPr>
      </xdr:nvSpPr>
      <xdr:spPr bwMode="auto">
        <a:xfrm>
          <a:off x="1095375" y="3695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23</xdr:row>
      <xdr:rowOff>76200</xdr:rowOff>
    </xdr:from>
    <xdr:to>
      <xdr:col>1</xdr:col>
      <xdr:colOff>76200</xdr:colOff>
      <xdr:row>24</xdr:row>
      <xdr:rowOff>76200</xdr:rowOff>
    </xdr:to>
    <xdr:sp macro="" textlink="">
      <xdr:nvSpPr>
        <xdr:cNvPr id="608" name="Text Box 618">
          <a:extLst>
            <a:ext uri="{FF2B5EF4-FFF2-40B4-BE49-F238E27FC236}">
              <a16:creationId xmlns:a16="http://schemas.microsoft.com/office/drawing/2014/main" id="{00000000-0008-0000-0000-000060020000}"/>
            </a:ext>
          </a:extLst>
        </xdr:cNvPr>
        <xdr:cNvSpPr txBox="1">
          <a:spLocks noChangeArrowheads="1"/>
        </xdr:cNvSpPr>
      </xdr:nvSpPr>
      <xdr:spPr bwMode="auto">
        <a:xfrm>
          <a:off x="1095375" y="42957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23</xdr:row>
      <xdr:rowOff>76200</xdr:rowOff>
    </xdr:from>
    <xdr:to>
      <xdr:col>1</xdr:col>
      <xdr:colOff>76200</xdr:colOff>
      <xdr:row>24</xdr:row>
      <xdr:rowOff>76200</xdr:rowOff>
    </xdr:to>
    <xdr:sp macro="" textlink="">
      <xdr:nvSpPr>
        <xdr:cNvPr id="609" name="Text Box 619">
          <a:extLst>
            <a:ext uri="{FF2B5EF4-FFF2-40B4-BE49-F238E27FC236}">
              <a16:creationId xmlns:a16="http://schemas.microsoft.com/office/drawing/2014/main" id="{00000000-0008-0000-0000-000061020000}"/>
            </a:ext>
          </a:extLst>
        </xdr:cNvPr>
        <xdr:cNvSpPr txBox="1">
          <a:spLocks noChangeArrowheads="1"/>
        </xdr:cNvSpPr>
      </xdr:nvSpPr>
      <xdr:spPr bwMode="auto">
        <a:xfrm>
          <a:off x="1095375" y="42957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23</xdr:row>
      <xdr:rowOff>76200</xdr:rowOff>
    </xdr:from>
    <xdr:to>
      <xdr:col>1</xdr:col>
      <xdr:colOff>76200</xdr:colOff>
      <xdr:row>24</xdr:row>
      <xdr:rowOff>76200</xdr:rowOff>
    </xdr:to>
    <xdr:sp macro="" textlink="">
      <xdr:nvSpPr>
        <xdr:cNvPr id="610" name="Text Box 620">
          <a:extLst>
            <a:ext uri="{FF2B5EF4-FFF2-40B4-BE49-F238E27FC236}">
              <a16:creationId xmlns:a16="http://schemas.microsoft.com/office/drawing/2014/main" id="{00000000-0008-0000-0000-000062020000}"/>
            </a:ext>
          </a:extLst>
        </xdr:cNvPr>
        <xdr:cNvSpPr txBox="1">
          <a:spLocks noChangeArrowheads="1"/>
        </xdr:cNvSpPr>
      </xdr:nvSpPr>
      <xdr:spPr bwMode="auto">
        <a:xfrm>
          <a:off x="1095375" y="42957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26</xdr:row>
      <xdr:rowOff>76200</xdr:rowOff>
    </xdr:from>
    <xdr:to>
      <xdr:col>1</xdr:col>
      <xdr:colOff>76200</xdr:colOff>
      <xdr:row>27</xdr:row>
      <xdr:rowOff>76200</xdr:rowOff>
    </xdr:to>
    <xdr:sp macro="" textlink="">
      <xdr:nvSpPr>
        <xdr:cNvPr id="611" name="Text Box 621">
          <a:extLst>
            <a:ext uri="{FF2B5EF4-FFF2-40B4-BE49-F238E27FC236}">
              <a16:creationId xmlns:a16="http://schemas.microsoft.com/office/drawing/2014/main" id="{00000000-0008-0000-0000-000063020000}"/>
            </a:ext>
          </a:extLst>
        </xdr:cNvPr>
        <xdr:cNvSpPr txBox="1">
          <a:spLocks noChangeArrowheads="1"/>
        </xdr:cNvSpPr>
      </xdr:nvSpPr>
      <xdr:spPr bwMode="auto">
        <a:xfrm>
          <a:off x="1095375" y="4895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26</xdr:row>
      <xdr:rowOff>76200</xdr:rowOff>
    </xdr:from>
    <xdr:to>
      <xdr:col>1</xdr:col>
      <xdr:colOff>76200</xdr:colOff>
      <xdr:row>27</xdr:row>
      <xdr:rowOff>76200</xdr:rowOff>
    </xdr:to>
    <xdr:sp macro="" textlink="">
      <xdr:nvSpPr>
        <xdr:cNvPr id="612" name="Text Box 622">
          <a:extLst>
            <a:ext uri="{FF2B5EF4-FFF2-40B4-BE49-F238E27FC236}">
              <a16:creationId xmlns:a16="http://schemas.microsoft.com/office/drawing/2014/main" id="{00000000-0008-0000-0000-000064020000}"/>
            </a:ext>
          </a:extLst>
        </xdr:cNvPr>
        <xdr:cNvSpPr txBox="1">
          <a:spLocks noChangeArrowheads="1"/>
        </xdr:cNvSpPr>
      </xdr:nvSpPr>
      <xdr:spPr bwMode="auto">
        <a:xfrm>
          <a:off x="1095375" y="4895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26</xdr:row>
      <xdr:rowOff>76200</xdr:rowOff>
    </xdr:from>
    <xdr:to>
      <xdr:col>1</xdr:col>
      <xdr:colOff>76200</xdr:colOff>
      <xdr:row>27</xdr:row>
      <xdr:rowOff>76200</xdr:rowOff>
    </xdr:to>
    <xdr:sp macro="" textlink="">
      <xdr:nvSpPr>
        <xdr:cNvPr id="613" name="Text Box 623">
          <a:extLst>
            <a:ext uri="{FF2B5EF4-FFF2-40B4-BE49-F238E27FC236}">
              <a16:creationId xmlns:a16="http://schemas.microsoft.com/office/drawing/2014/main" id="{00000000-0008-0000-0000-000065020000}"/>
            </a:ext>
          </a:extLst>
        </xdr:cNvPr>
        <xdr:cNvSpPr txBox="1">
          <a:spLocks noChangeArrowheads="1"/>
        </xdr:cNvSpPr>
      </xdr:nvSpPr>
      <xdr:spPr bwMode="auto">
        <a:xfrm>
          <a:off x="1095375" y="4895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76200</xdr:rowOff>
    </xdr:from>
    <xdr:to>
      <xdr:col>1</xdr:col>
      <xdr:colOff>76200</xdr:colOff>
      <xdr:row>29</xdr:row>
      <xdr:rowOff>76200</xdr:rowOff>
    </xdr:to>
    <xdr:sp macro="" textlink="">
      <xdr:nvSpPr>
        <xdr:cNvPr id="614" name="Text Box 624">
          <a:extLst>
            <a:ext uri="{FF2B5EF4-FFF2-40B4-BE49-F238E27FC236}">
              <a16:creationId xmlns:a16="http://schemas.microsoft.com/office/drawing/2014/main" id="{00000000-0008-0000-0000-000066020000}"/>
            </a:ext>
          </a:extLst>
        </xdr:cNvPr>
        <xdr:cNvSpPr txBox="1">
          <a:spLocks noChangeArrowheads="1"/>
        </xdr:cNvSpPr>
      </xdr:nvSpPr>
      <xdr:spPr bwMode="auto">
        <a:xfrm>
          <a:off x="1095375" y="52959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76200</xdr:rowOff>
    </xdr:from>
    <xdr:to>
      <xdr:col>1</xdr:col>
      <xdr:colOff>76200</xdr:colOff>
      <xdr:row>29</xdr:row>
      <xdr:rowOff>76200</xdr:rowOff>
    </xdr:to>
    <xdr:sp macro="" textlink="">
      <xdr:nvSpPr>
        <xdr:cNvPr id="615" name="Text Box 625">
          <a:extLst>
            <a:ext uri="{FF2B5EF4-FFF2-40B4-BE49-F238E27FC236}">
              <a16:creationId xmlns:a16="http://schemas.microsoft.com/office/drawing/2014/main" id="{00000000-0008-0000-0000-000067020000}"/>
            </a:ext>
          </a:extLst>
        </xdr:cNvPr>
        <xdr:cNvSpPr txBox="1">
          <a:spLocks noChangeArrowheads="1"/>
        </xdr:cNvSpPr>
      </xdr:nvSpPr>
      <xdr:spPr bwMode="auto">
        <a:xfrm>
          <a:off x="1095375" y="52959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xdr:row>
      <xdr:rowOff>76200</xdr:rowOff>
    </xdr:from>
    <xdr:to>
      <xdr:col>1</xdr:col>
      <xdr:colOff>76200</xdr:colOff>
      <xdr:row>29</xdr:row>
      <xdr:rowOff>76200</xdr:rowOff>
    </xdr:to>
    <xdr:sp macro="" textlink="">
      <xdr:nvSpPr>
        <xdr:cNvPr id="616" name="Text Box 626">
          <a:extLst>
            <a:ext uri="{FF2B5EF4-FFF2-40B4-BE49-F238E27FC236}">
              <a16:creationId xmlns:a16="http://schemas.microsoft.com/office/drawing/2014/main" id="{00000000-0008-0000-0000-000068020000}"/>
            </a:ext>
          </a:extLst>
        </xdr:cNvPr>
        <xdr:cNvSpPr txBox="1">
          <a:spLocks noChangeArrowheads="1"/>
        </xdr:cNvSpPr>
      </xdr:nvSpPr>
      <xdr:spPr bwMode="auto">
        <a:xfrm>
          <a:off x="1095375" y="52959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xdr:row>
      <xdr:rowOff>76200</xdr:rowOff>
    </xdr:from>
    <xdr:to>
      <xdr:col>1</xdr:col>
      <xdr:colOff>76200</xdr:colOff>
      <xdr:row>32</xdr:row>
      <xdr:rowOff>76200</xdr:rowOff>
    </xdr:to>
    <xdr:sp macro="" textlink="">
      <xdr:nvSpPr>
        <xdr:cNvPr id="617" name="Text Box 627">
          <a:extLst>
            <a:ext uri="{FF2B5EF4-FFF2-40B4-BE49-F238E27FC236}">
              <a16:creationId xmlns:a16="http://schemas.microsoft.com/office/drawing/2014/main" id="{00000000-0008-0000-0000-000069020000}"/>
            </a:ext>
          </a:extLst>
        </xdr:cNvPr>
        <xdr:cNvSpPr txBox="1">
          <a:spLocks noChangeArrowheads="1"/>
        </xdr:cNvSpPr>
      </xdr:nvSpPr>
      <xdr:spPr bwMode="auto">
        <a:xfrm>
          <a:off x="1095375" y="5895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xdr:row>
      <xdr:rowOff>76200</xdr:rowOff>
    </xdr:from>
    <xdr:to>
      <xdr:col>1</xdr:col>
      <xdr:colOff>76200</xdr:colOff>
      <xdr:row>32</xdr:row>
      <xdr:rowOff>76200</xdr:rowOff>
    </xdr:to>
    <xdr:sp macro="" textlink="">
      <xdr:nvSpPr>
        <xdr:cNvPr id="618" name="Text Box 628">
          <a:extLst>
            <a:ext uri="{FF2B5EF4-FFF2-40B4-BE49-F238E27FC236}">
              <a16:creationId xmlns:a16="http://schemas.microsoft.com/office/drawing/2014/main" id="{00000000-0008-0000-0000-00006A020000}"/>
            </a:ext>
          </a:extLst>
        </xdr:cNvPr>
        <xdr:cNvSpPr txBox="1">
          <a:spLocks noChangeArrowheads="1"/>
        </xdr:cNvSpPr>
      </xdr:nvSpPr>
      <xdr:spPr bwMode="auto">
        <a:xfrm>
          <a:off x="1095375" y="5895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31</xdr:row>
      <xdr:rowOff>76200</xdr:rowOff>
    </xdr:from>
    <xdr:to>
      <xdr:col>1</xdr:col>
      <xdr:colOff>76200</xdr:colOff>
      <xdr:row>32</xdr:row>
      <xdr:rowOff>76200</xdr:rowOff>
    </xdr:to>
    <xdr:sp macro="" textlink="">
      <xdr:nvSpPr>
        <xdr:cNvPr id="619" name="Text Box 629">
          <a:extLst>
            <a:ext uri="{FF2B5EF4-FFF2-40B4-BE49-F238E27FC236}">
              <a16:creationId xmlns:a16="http://schemas.microsoft.com/office/drawing/2014/main" id="{00000000-0008-0000-0000-00006B020000}"/>
            </a:ext>
          </a:extLst>
        </xdr:cNvPr>
        <xdr:cNvSpPr txBox="1">
          <a:spLocks noChangeArrowheads="1"/>
        </xdr:cNvSpPr>
      </xdr:nvSpPr>
      <xdr:spPr bwMode="auto">
        <a:xfrm>
          <a:off x="1095375" y="5895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34</xdr:row>
      <xdr:rowOff>76200</xdr:rowOff>
    </xdr:from>
    <xdr:to>
      <xdr:col>1</xdr:col>
      <xdr:colOff>76200</xdr:colOff>
      <xdr:row>35</xdr:row>
      <xdr:rowOff>76200</xdr:rowOff>
    </xdr:to>
    <xdr:sp macro="" textlink="">
      <xdr:nvSpPr>
        <xdr:cNvPr id="620" name="Text Box 630">
          <a:extLst>
            <a:ext uri="{FF2B5EF4-FFF2-40B4-BE49-F238E27FC236}">
              <a16:creationId xmlns:a16="http://schemas.microsoft.com/office/drawing/2014/main" id="{00000000-0008-0000-0000-00006C020000}"/>
            </a:ext>
          </a:extLst>
        </xdr:cNvPr>
        <xdr:cNvSpPr txBox="1">
          <a:spLocks noChangeArrowheads="1"/>
        </xdr:cNvSpPr>
      </xdr:nvSpPr>
      <xdr:spPr bwMode="auto">
        <a:xfrm>
          <a:off x="1095375" y="6496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457200</xdr:colOff>
      <xdr:row>52</xdr:row>
      <xdr:rowOff>9525</xdr:rowOff>
    </xdr:from>
    <xdr:to>
      <xdr:col>0</xdr:col>
      <xdr:colOff>609600</xdr:colOff>
      <xdr:row>52</xdr:row>
      <xdr:rowOff>161925</xdr:rowOff>
    </xdr:to>
    <xdr:sp macro="" textlink="">
      <xdr:nvSpPr>
        <xdr:cNvPr id="621" name="Rectangle 631">
          <a:extLst>
            <a:ext uri="{FF2B5EF4-FFF2-40B4-BE49-F238E27FC236}">
              <a16:creationId xmlns:a16="http://schemas.microsoft.com/office/drawing/2014/main" id="{00000000-0008-0000-0000-00006D020000}"/>
            </a:ext>
          </a:extLst>
        </xdr:cNvPr>
        <xdr:cNvSpPr>
          <a:spLocks noChangeArrowheads="1"/>
        </xdr:cNvSpPr>
      </xdr:nvSpPr>
      <xdr:spPr bwMode="auto">
        <a:xfrm>
          <a:off x="457200" y="10029825"/>
          <a:ext cx="152400" cy="152400"/>
        </a:xfrm>
        <a:prstGeom prst="rect">
          <a:avLst/>
        </a:prstGeom>
        <a:gradFill rotWithShape="1">
          <a:gsLst>
            <a:gs pos="0">
              <a:srgbClr val="FF0000">
                <a:gamma/>
                <a:shade val="46275"/>
                <a:invGamma/>
              </a:srgbClr>
            </a:gs>
            <a:gs pos="50000">
              <a:srgbClr val="FF0000">
                <a:alpha val="82001"/>
              </a:srgbClr>
            </a:gs>
            <a:gs pos="100000">
              <a:srgbClr val="FF0000">
                <a:gamma/>
                <a:shade val="46275"/>
                <a:invGamma/>
              </a:srgbClr>
            </a:gs>
          </a:gsLst>
          <a:lin ang="0" scaled="1"/>
        </a:gradFill>
        <a:ln w="9525" algn="ctr">
          <a:solidFill>
            <a:srgbClr val="000000"/>
          </a:solidFill>
          <a:miter lim="800000"/>
          <a:headEnd/>
          <a:tailEnd/>
        </a:ln>
        <a:effectLst/>
      </xdr:spPr>
      <xdr:txBody>
        <a:bodyPr/>
        <a:lstStyle/>
        <a:p>
          <a:endParaRPr lang="id-ID"/>
        </a:p>
      </xdr:txBody>
    </xdr:sp>
    <xdr:clientData/>
  </xdr:twoCellAnchor>
  <xdr:twoCellAnchor editAs="oneCell">
    <xdr:from>
      <xdr:col>2</xdr:col>
      <xdr:colOff>0</xdr:colOff>
      <xdr:row>42</xdr:row>
      <xdr:rowOff>38100</xdr:rowOff>
    </xdr:from>
    <xdr:to>
      <xdr:col>2</xdr:col>
      <xdr:colOff>85725</xdr:colOff>
      <xdr:row>43</xdr:row>
      <xdr:rowOff>47625</xdr:rowOff>
    </xdr:to>
    <xdr:sp macro="" textlink="">
      <xdr:nvSpPr>
        <xdr:cNvPr id="622" name="Text Box 379">
          <a:extLst>
            <a:ext uri="{FF2B5EF4-FFF2-40B4-BE49-F238E27FC236}">
              <a16:creationId xmlns:a16="http://schemas.microsoft.com/office/drawing/2014/main" id="{00000000-0008-0000-0000-00006E020000}"/>
            </a:ext>
          </a:extLst>
        </xdr:cNvPr>
        <xdr:cNvSpPr txBox="1">
          <a:spLocks noChangeArrowheads="1"/>
        </xdr:cNvSpPr>
      </xdr:nvSpPr>
      <xdr:spPr bwMode="auto">
        <a:xfrm>
          <a:off x="1476375" y="8058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42</xdr:row>
      <xdr:rowOff>38100</xdr:rowOff>
    </xdr:from>
    <xdr:to>
      <xdr:col>2</xdr:col>
      <xdr:colOff>85725</xdr:colOff>
      <xdr:row>43</xdr:row>
      <xdr:rowOff>47625</xdr:rowOff>
    </xdr:to>
    <xdr:sp macro="" textlink="">
      <xdr:nvSpPr>
        <xdr:cNvPr id="623" name="Text Box 380">
          <a:extLst>
            <a:ext uri="{FF2B5EF4-FFF2-40B4-BE49-F238E27FC236}">
              <a16:creationId xmlns:a16="http://schemas.microsoft.com/office/drawing/2014/main" id="{00000000-0008-0000-0000-00006F020000}"/>
            </a:ext>
          </a:extLst>
        </xdr:cNvPr>
        <xdr:cNvSpPr txBox="1">
          <a:spLocks noChangeArrowheads="1"/>
        </xdr:cNvSpPr>
      </xdr:nvSpPr>
      <xdr:spPr bwMode="auto">
        <a:xfrm>
          <a:off x="1476375" y="8058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43</xdr:row>
      <xdr:rowOff>38100</xdr:rowOff>
    </xdr:from>
    <xdr:to>
      <xdr:col>2</xdr:col>
      <xdr:colOff>85725</xdr:colOff>
      <xdr:row>44</xdr:row>
      <xdr:rowOff>47625</xdr:rowOff>
    </xdr:to>
    <xdr:sp macro="" textlink="">
      <xdr:nvSpPr>
        <xdr:cNvPr id="624" name="Text Box 381">
          <a:extLst>
            <a:ext uri="{FF2B5EF4-FFF2-40B4-BE49-F238E27FC236}">
              <a16:creationId xmlns:a16="http://schemas.microsoft.com/office/drawing/2014/main" id="{00000000-0008-0000-0000-000070020000}"/>
            </a:ext>
          </a:extLst>
        </xdr:cNvPr>
        <xdr:cNvSpPr txBox="1">
          <a:spLocks noChangeArrowheads="1"/>
        </xdr:cNvSpPr>
      </xdr:nvSpPr>
      <xdr:spPr bwMode="auto">
        <a:xfrm>
          <a:off x="1476375" y="82581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43</xdr:row>
      <xdr:rowOff>38100</xdr:rowOff>
    </xdr:from>
    <xdr:to>
      <xdr:col>2</xdr:col>
      <xdr:colOff>85725</xdr:colOff>
      <xdr:row>44</xdr:row>
      <xdr:rowOff>47625</xdr:rowOff>
    </xdr:to>
    <xdr:sp macro="" textlink="">
      <xdr:nvSpPr>
        <xdr:cNvPr id="625" name="Text Box 382">
          <a:extLst>
            <a:ext uri="{FF2B5EF4-FFF2-40B4-BE49-F238E27FC236}">
              <a16:creationId xmlns:a16="http://schemas.microsoft.com/office/drawing/2014/main" id="{00000000-0008-0000-0000-000071020000}"/>
            </a:ext>
          </a:extLst>
        </xdr:cNvPr>
        <xdr:cNvSpPr txBox="1">
          <a:spLocks noChangeArrowheads="1"/>
        </xdr:cNvSpPr>
      </xdr:nvSpPr>
      <xdr:spPr bwMode="auto">
        <a:xfrm>
          <a:off x="1476375" y="82581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43</xdr:row>
      <xdr:rowOff>38100</xdr:rowOff>
    </xdr:from>
    <xdr:to>
      <xdr:col>2</xdr:col>
      <xdr:colOff>85725</xdr:colOff>
      <xdr:row>44</xdr:row>
      <xdr:rowOff>47625</xdr:rowOff>
    </xdr:to>
    <xdr:sp macro="" textlink="">
      <xdr:nvSpPr>
        <xdr:cNvPr id="626" name="Text Box 383">
          <a:extLst>
            <a:ext uri="{FF2B5EF4-FFF2-40B4-BE49-F238E27FC236}">
              <a16:creationId xmlns:a16="http://schemas.microsoft.com/office/drawing/2014/main" id="{00000000-0008-0000-0000-000072020000}"/>
            </a:ext>
          </a:extLst>
        </xdr:cNvPr>
        <xdr:cNvSpPr txBox="1">
          <a:spLocks noChangeArrowheads="1"/>
        </xdr:cNvSpPr>
      </xdr:nvSpPr>
      <xdr:spPr bwMode="auto">
        <a:xfrm>
          <a:off x="1476375" y="82581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43</xdr:row>
      <xdr:rowOff>38100</xdr:rowOff>
    </xdr:from>
    <xdr:to>
      <xdr:col>2</xdr:col>
      <xdr:colOff>85725</xdr:colOff>
      <xdr:row>44</xdr:row>
      <xdr:rowOff>47625</xdr:rowOff>
    </xdr:to>
    <xdr:sp macro="" textlink="">
      <xdr:nvSpPr>
        <xdr:cNvPr id="627" name="Text Box 384">
          <a:extLst>
            <a:ext uri="{FF2B5EF4-FFF2-40B4-BE49-F238E27FC236}">
              <a16:creationId xmlns:a16="http://schemas.microsoft.com/office/drawing/2014/main" id="{00000000-0008-0000-0000-000073020000}"/>
            </a:ext>
          </a:extLst>
        </xdr:cNvPr>
        <xdr:cNvSpPr txBox="1">
          <a:spLocks noChangeArrowheads="1"/>
        </xdr:cNvSpPr>
      </xdr:nvSpPr>
      <xdr:spPr bwMode="auto">
        <a:xfrm>
          <a:off x="1476375" y="82581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44</xdr:row>
      <xdr:rowOff>38100</xdr:rowOff>
    </xdr:from>
    <xdr:to>
      <xdr:col>2</xdr:col>
      <xdr:colOff>85725</xdr:colOff>
      <xdr:row>45</xdr:row>
      <xdr:rowOff>47625</xdr:rowOff>
    </xdr:to>
    <xdr:sp macro="" textlink="">
      <xdr:nvSpPr>
        <xdr:cNvPr id="628" name="Text Box 385">
          <a:extLst>
            <a:ext uri="{FF2B5EF4-FFF2-40B4-BE49-F238E27FC236}">
              <a16:creationId xmlns:a16="http://schemas.microsoft.com/office/drawing/2014/main" id="{00000000-0008-0000-0000-000074020000}"/>
            </a:ext>
          </a:extLst>
        </xdr:cNvPr>
        <xdr:cNvSpPr txBox="1">
          <a:spLocks noChangeArrowheads="1"/>
        </xdr:cNvSpPr>
      </xdr:nvSpPr>
      <xdr:spPr bwMode="auto">
        <a:xfrm>
          <a:off x="1476375" y="84582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44</xdr:row>
      <xdr:rowOff>38100</xdr:rowOff>
    </xdr:from>
    <xdr:to>
      <xdr:col>2</xdr:col>
      <xdr:colOff>85725</xdr:colOff>
      <xdr:row>45</xdr:row>
      <xdr:rowOff>47625</xdr:rowOff>
    </xdr:to>
    <xdr:sp macro="" textlink="">
      <xdr:nvSpPr>
        <xdr:cNvPr id="629" name="Text Box 386">
          <a:extLst>
            <a:ext uri="{FF2B5EF4-FFF2-40B4-BE49-F238E27FC236}">
              <a16:creationId xmlns:a16="http://schemas.microsoft.com/office/drawing/2014/main" id="{00000000-0008-0000-0000-000075020000}"/>
            </a:ext>
          </a:extLst>
        </xdr:cNvPr>
        <xdr:cNvSpPr txBox="1">
          <a:spLocks noChangeArrowheads="1"/>
        </xdr:cNvSpPr>
      </xdr:nvSpPr>
      <xdr:spPr bwMode="auto">
        <a:xfrm>
          <a:off x="1476375" y="84582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44</xdr:row>
      <xdr:rowOff>38100</xdr:rowOff>
    </xdr:from>
    <xdr:to>
      <xdr:col>2</xdr:col>
      <xdr:colOff>85725</xdr:colOff>
      <xdr:row>45</xdr:row>
      <xdr:rowOff>47625</xdr:rowOff>
    </xdr:to>
    <xdr:sp macro="" textlink="">
      <xdr:nvSpPr>
        <xdr:cNvPr id="630" name="Text Box 387">
          <a:extLst>
            <a:ext uri="{FF2B5EF4-FFF2-40B4-BE49-F238E27FC236}">
              <a16:creationId xmlns:a16="http://schemas.microsoft.com/office/drawing/2014/main" id="{00000000-0008-0000-0000-000076020000}"/>
            </a:ext>
          </a:extLst>
        </xdr:cNvPr>
        <xdr:cNvSpPr txBox="1">
          <a:spLocks noChangeArrowheads="1"/>
        </xdr:cNvSpPr>
      </xdr:nvSpPr>
      <xdr:spPr bwMode="auto">
        <a:xfrm>
          <a:off x="1476375" y="84582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44</xdr:row>
      <xdr:rowOff>38100</xdr:rowOff>
    </xdr:from>
    <xdr:to>
      <xdr:col>2</xdr:col>
      <xdr:colOff>85725</xdr:colOff>
      <xdr:row>45</xdr:row>
      <xdr:rowOff>47625</xdr:rowOff>
    </xdr:to>
    <xdr:sp macro="" textlink="">
      <xdr:nvSpPr>
        <xdr:cNvPr id="631" name="Text Box 388">
          <a:extLst>
            <a:ext uri="{FF2B5EF4-FFF2-40B4-BE49-F238E27FC236}">
              <a16:creationId xmlns:a16="http://schemas.microsoft.com/office/drawing/2014/main" id="{00000000-0008-0000-0000-000077020000}"/>
            </a:ext>
          </a:extLst>
        </xdr:cNvPr>
        <xdr:cNvSpPr txBox="1">
          <a:spLocks noChangeArrowheads="1"/>
        </xdr:cNvSpPr>
      </xdr:nvSpPr>
      <xdr:spPr bwMode="auto">
        <a:xfrm>
          <a:off x="1476375" y="84582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45</xdr:row>
      <xdr:rowOff>38100</xdr:rowOff>
    </xdr:from>
    <xdr:to>
      <xdr:col>2</xdr:col>
      <xdr:colOff>85725</xdr:colOff>
      <xdr:row>46</xdr:row>
      <xdr:rowOff>47625</xdr:rowOff>
    </xdr:to>
    <xdr:sp macro="" textlink="">
      <xdr:nvSpPr>
        <xdr:cNvPr id="632" name="Text Box 389">
          <a:extLst>
            <a:ext uri="{FF2B5EF4-FFF2-40B4-BE49-F238E27FC236}">
              <a16:creationId xmlns:a16="http://schemas.microsoft.com/office/drawing/2014/main" id="{00000000-0008-0000-0000-000078020000}"/>
            </a:ext>
          </a:extLst>
        </xdr:cNvPr>
        <xdr:cNvSpPr txBox="1">
          <a:spLocks noChangeArrowheads="1"/>
        </xdr:cNvSpPr>
      </xdr:nvSpPr>
      <xdr:spPr bwMode="auto">
        <a:xfrm>
          <a:off x="1476375" y="86582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45</xdr:row>
      <xdr:rowOff>38100</xdr:rowOff>
    </xdr:from>
    <xdr:to>
      <xdr:col>2</xdr:col>
      <xdr:colOff>85725</xdr:colOff>
      <xdr:row>46</xdr:row>
      <xdr:rowOff>47625</xdr:rowOff>
    </xdr:to>
    <xdr:sp macro="" textlink="">
      <xdr:nvSpPr>
        <xdr:cNvPr id="633" name="Text Box 390">
          <a:extLst>
            <a:ext uri="{FF2B5EF4-FFF2-40B4-BE49-F238E27FC236}">
              <a16:creationId xmlns:a16="http://schemas.microsoft.com/office/drawing/2014/main" id="{00000000-0008-0000-0000-000079020000}"/>
            </a:ext>
          </a:extLst>
        </xdr:cNvPr>
        <xdr:cNvSpPr txBox="1">
          <a:spLocks noChangeArrowheads="1"/>
        </xdr:cNvSpPr>
      </xdr:nvSpPr>
      <xdr:spPr bwMode="auto">
        <a:xfrm>
          <a:off x="1476375" y="86582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45</xdr:row>
      <xdr:rowOff>38100</xdr:rowOff>
    </xdr:from>
    <xdr:to>
      <xdr:col>2</xdr:col>
      <xdr:colOff>85725</xdr:colOff>
      <xdr:row>46</xdr:row>
      <xdr:rowOff>47625</xdr:rowOff>
    </xdr:to>
    <xdr:sp macro="" textlink="">
      <xdr:nvSpPr>
        <xdr:cNvPr id="634" name="Text Box 391">
          <a:extLst>
            <a:ext uri="{FF2B5EF4-FFF2-40B4-BE49-F238E27FC236}">
              <a16:creationId xmlns:a16="http://schemas.microsoft.com/office/drawing/2014/main" id="{00000000-0008-0000-0000-00007A020000}"/>
            </a:ext>
          </a:extLst>
        </xdr:cNvPr>
        <xdr:cNvSpPr txBox="1">
          <a:spLocks noChangeArrowheads="1"/>
        </xdr:cNvSpPr>
      </xdr:nvSpPr>
      <xdr:spPr bwMode="auto">
        <a:xfrm>
          <a:off x="1476375" y="86582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45</xdr:row>
      <xdr:rowOff>38100</xdr:rowOff>
    </xdr:from>
    <xdr:to>
      <xdr:col>2</xdr:col>
      <xdr:colOff>85725</xdr:colOff>
      <xdr:row>46</xdr:row>
      <xdr:rowOff>47625</xdr:rowOff>
    </xdr:to>
    <xdr:sp macro="" textlink="">
      <xdr:nvSpPr>
        <xdr:cNvPr id="635" name="Text Box 392">
          <a:extLst>
            <a:ext uri="{FF2B5EF4-FFF2-40B4-BE49-F238E27FC236}">
              <a16:creationId xmlns:a16="http://schemas.microsoft.com/office/drawing/2014/main" id="{00000000-0008-0000-0000-00007B020000}"/>
            </a:ext>
          </a:extLst>
        </xdr:cNvPr>
        <xdr:cNvSpPr txBox="1">
          <a:spLocks noChangeArrowheads="1"/>
        </xdr:cNvSpPr>
      </xdr:nvSpPr>
      <xdr:spPr bwMode="auto">
        <a:xfrm>
          <a:off x="1476375" y="86582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46</xdr:row>
      <xdr:rowOff>38100</xdr:rowOff>
    </xdr:from>
    <xdr:to>
      <xdr:col>2</xdr:col>
      <xdr:colOff>85725</xdr:colOff>
      <xdr:row>47</xdr:row>
      <xdr:rowOff>47625</xdr:rowOff>
    </xdr:to>
    <xdr:sp macro="" textlink="">
      <xdr:nvSpPr>
        <xdr:cNvPr id="636" name="Text Box 393">
          <a:extLst>
            <a:ext uri="{FF2B5EF4-FFF2-40B4-BE49-F238E27FC236}">
              <a16:creationId xmlns:a16="http://schemas.microsoft.com/office/drawing/2014/main" id="{00000000-0008-0000-0000-00007C020000}"/>
            </a:ext>
          </a:extLst>
        </xdr:cNvPr>
        <xdr:cNvSpPr txBox="1">
          <a:spLocks noChangeArrowheads="1"/>
        </xdr:cNvSpPr>
      </xdr:nvSpPr>
      <xdr:spPr bwMode="auto">
        <a:xfrm>
          <a:off x="1476375" y="88582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46</xdr:row>
      <xdr:rowOff>38100</xdr:rowOff>
    </xdr:from>
    <xdr:to>
      <xdr:col>2</xdr:col>
      <xdr:colOff>85725</xdr:colOff>
      <xdr:row>47</xdr:row>
      <xdr:rowOff>47625</xdr:rowOff>
    </xdr:to>
    <xdr:sp macro="" textlink="">
      <xdr:nvSpPr>
        <xdr:cNvPr id="637" name="Text Box 394">
          <a:extLst>
            <a:ext uri="{FF2B5EF4-FFF2-40B4-BE49-F238E27FC236}">
              <a16:creationId xmlns:a16="http://schemas.microsoft.com/office/drawing/2014/main" id="{00000000-0008-0000-0000-00007D020000}"/>
            </a:ext>
          </a:extLst>
        </xdr:cNvPr>
        <xdr:cNvSpPr txBox="1">
          <a:spLocks noChangeArrowheads="1"/>
        </xdr:cNvSpPr>
      </xdr:nvSpPr>
      <xdr:spPr bwMode="auto">
        <a:xfrm>
          <a:off x="1476375" y="88582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46</xdr:row>
      <xdr:rowOff>38100</xdr:rowOff>
    </xdr:from>
    <xdr:to>
      <xdr:col>2</xdr:col>
      <xdr:colOff>85725</xdr:colOff>
      <xdr:row>47</xdr:row>
      <xdr:rowOff>47625</xdr:rowOff>
    </xdr:to>
    <xdr:sp macro="" textlink="">
      <xdr:nvSpPr>
        <xdr:cNvPr id="638" name="Text Box 395">
          <a:extLst>
            <a:ext uri="{FF2B5EF4-FFF2-40B4-BE49-F238E27FC236}">
              <a16:creationId xmlns:a16="http://schemas.microsoft.com/office/drawing/2014/main" id="{00000000-0008-0000-0000-00007E020000}"/>
            </a:ext>
          </a:extLst>
        </xdr:cNvPr>
        <xdr:cNvSpPr txBox="1">
          <a:spLocks noChangeArrowheads="1"/>
        </xdr:cNvSpPr>
      </xdr:nvSpPr>
      <xdr:spPr bwMode="auto">
        <a:xfrm>
          <a:off x="1476375" y="88582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46</xdr:row>
      <xdr:rowOff>38100</xdr:rowOff>
    </xdr:from>
    <xdr:to>
      <xdr:col>2</xdr:col>
      <xdr:colOff>85725</xdr:colOff>
      <xdr:row>47</xdr:row>
      <xdr:rowOff>47625</xdr:rowOff>
    </xdr:to>
    <xdr:sp macro="" textlink="">
      <xdr:nvSpPr>
        <xdr:cNvPr id="639" name="Text Box 396">
          <a:extLst>
            <a:ext uri="{FF2B5EF4-FFF2-40B4-BE49-F238E27FC236}">
              <a16:creationId xmlns:a16="http://schemas.microsoft.com/office/drawing/2014/main" id="{00000000-0008-0000-0000-00007F020000}"/>
            </a:ext>
          </a:extLst>
        </xdr:cNvPr>
        <xdr:cNvSpPr txBox="1">
          <a:spLocks noChangeArrowheads="1"/>
        </xdr:cNvSpPr>
      </xdr:nvSpPr>
      <xdr:spPr bwMode="auto">
        <a:xfrm>
          <a:off x="1476375" y="88582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47</xdr:row>
      <xdr:rowOff>38100</xdr:rowOff>
    </xdr:from>
    <xdr:to>
      <xdr:col>2</xdr:col>
      <xdr:colOff>85725</xdr:colOff>
      <xdr:row>48</xdr:row>
      <xdr:rowOff>47625</xdr:rowOff>
    </xdr:to>
    <xdr:sp macro="" textlink="">
      <xdr:nvSpPr>
        <xdr:cNvPr id="640" name="Text Box 397">
          <a:extLst>
            <a:ext uri="{FF2B5EF4-FFF2-40B4-BE49-F238E27FC236}">
              <a16:creationId xmlns:a16="http://schemas.microsoft.com/office/drawing/2014/main" id="{00000000-0008-0000-0000-000080020000}"/>
            </a:ext>
          </a:extLst>
        </xdr:cNvPr>
        <xdr:cNvSpPr txBox="1">
          <a:spLocks noChangeArrowheads="1"/>
        </xdr:cNvSpPr>
      </xdr:nvSpPr>
      <xdr:spPr bwMode="auto">
        <a:xfrm>
          <a:off x="1476375" y="90582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47</xdr:row>
      <xdr:rowOff>38100</xdr:rowOff>
    </xdr:from>
    <xdr:to>
      <xdr:col>2</xdr:col>
      <xdr:colOff>85725</xdr:colOff>
      <xdr:row>48</xdr:row>
      <xdr:rowOff>47625</xdr:rowOff>
    </xdr:to>
    <xdr:sp macro="" textlink="">
      <xdr:nvSpPr>
        <xdr:cNvPr id="641" name="Text Box 398">
          <a:extLst>
            <a:ext uri="{FF2B5EF4-FFF2-40B4-BE49-F238E27FC236}">
              <a16:creationId xmlns:a16="http://schemas.microsoft.com/office/drawing/2014/main" id="{00000000-0008-0000-0000-000081020000}"/>
            </a:ext>
          </a:extLst>
        </xdr:cNvPr>
        <xdr:cNvSpPr txBox="1">
          <a:spLocks noChangeArrowheads="1"/>
        </xdr:cNvSpPr>
      </xdr:nvSpPr>
      <xdr:spPr bwMode="auto">
        <a:xfrm>
          <a:off x="1476375" y="90582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47</xdr:row>
      <xdr:rowOff>38100</xdr:rowOff>
    </xdr:from>
    <xdr:to>
      <xdr:col>2</xdr:col>
      <xdr:colOff>85725</xdr:colOff>
      <xdr:row>48</xdr:row>
      <xdr:rowOff>47625</xdr:rowOff>
    </xdr:to>
    <xdr:sp macro="" textlink="">
      <xdr:nvSpPr>
        <xdr:cNvPr id="642" name="Text Box 399">
          <a:extLst>
            <a:ext uri="{FF2B5EF4-FFF2-40B4-BE49-F238E27FC236}">
              <a16:creationId xmlns:a16="http://schemas.microsoft.com/office/drawing/2014/main" id="{00000000-0008-0000-0000-000082020000}"/>
            </a:ext>
          </a:extLst>
        </xdr:cNvPr>
        <xdr:cNvSpPr txBox="1">
          <a:spLocks noChangeArrowheads="1"/>
        </xdr:cNvSpPr>
      </xdr:nvSpPr>
      <xdr:spPr bwMode="auto">
        <a:xfrm>
          <a:off x="1476375" y="90582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47</xdr:row>
      <xdr:rowOff>38100</xdr:rowOff>
    </xdr:from>
    <xdr:to>
      <xdr:col>2</xdr:col>
      <xdr:colOff>85725</xdr:colOff>
      <xdr:row>48</xdr:row>
      <xdr:rowOff>47625</xdr:rowOff>
    </xdr:to>
    <xdr:sp macro="" textlink="">
      <xdr:nvSpPr>
        <xdr:cNvPr id="643" name="Text Box 400">
          <a:extLst>
            <a:ext uri="{FF2B5EF4-FFF2-40B4-BE49-F238E27FC236}">
              <a16:creationId xmlns:a16="http://schemas.microsoft.com/office/drawing/2014/main" id="{00000000-0008-0000-0000-000083020000}"/>
            </a:ext>
          </a:extLst>
        </xdr:cNvPr>
        <xdr:cNvSpPr txBox="1">
          <a:spLocks noChangeArrowheads="1"/>
        </xdr:cNvSpPr>
      </xdr:nvSpPr>
      <xdr:spPr bwMode="auto">
        <a:xfrm>
          <a:off x="1476375" y="90582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xdr:row>
      <xdr:rowOff>38100</xdr:rowOff>
    </xdr:from>
    <xdr:to>
      <xdr:col>2</xdr:col>
      <xdr:colOff>85725</xdr:colOff>
      <xdr:row>49</xdr:row>
      <xdr:rowOff>47625</xdr:rowOff>
    </xdr:to>
    <xdr:sp macro="" textlink="">
      <xdr:nvSpPr>
        <xdr:cNvPr id="644" name="Text Box 401">
          <a:extLst>
            <a:ext uri="{FF2B5EF4-FFF2-40B4-BE49-F238E27FC236}">
              <a16:creationId xmlns:a16="http://schemas.microsoft.com/office/drawing/2014/main" id="{00000000-0008-0000-0000-000084020000}"/>
            </a:ext>
          </a:extLst>
        </xdr:cNvPr>
        <xdr:cNvSpPr txBox="1">
          <a:spLocks noChangeArrowheads="1"/>
        </xdr:cNvSpPr>
      </xdr:nvSpPr>
      <xdr:spPr bwMode="auto">
        <a:xfrm>
          <a:off x="1476375" y="92583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xdr:row>
      <xdr:rowOff>38100</xdr:rowOff>
    </xdr:from>
    <xdr:to>
      <xdr:col>2</xdr:col>
      <xdr:colOff>85725</xdr:colOff>
      <xdr:row>49</xdr:row>
      <xdr:rowOff>47625</xdr:rowOff>
    </xdr:to>
    <xdr:sp macro="" textlink="">
      <xdr:nvSpPr>
        <xdr:cNvPr id="645" name="Text Box 402">
          <a:extLst>
            <a:ext uri="{FF2B5EF4-FFF2-40B4-BE49-F238E27FC236}">
              <a16:creationId xmlns:a16="http://schemas.microsoft.com/office/drawing/2014/main" id="{00000000-0008-0000-0000-000085020000}"/>
            </a:ext>
          </a:extLst>
        </xdr:cNvPr>
        <xdr:cNvSpPr txBox="1">
          <a:spLocks noChangeArrowheads="1"/>
        </xdr:cNvSpPr>
      </xdr:nvSpPr>
      <xdr:spPr bwMode="auto">
        <a:xfrm>
          <a:off x="1476375" y="92583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xdr:row>
      <xdr:rowOff>38100</xdr:rowOff>
    </xdr:from>
    <xdr:to>
      <xdr:col>2</xdr:col>
      <xdr:colOff>85725</xdr:colOff>
      <xdr:row>49</xdr:row>
      <xdr:rowOff>47625</xdr:rowOff>
    </xdr:to>
    <xdr:sp macro="" textlink="">
      <xdr:nvSpPr>
        <xdr:cNvPr id="646" name="Text Box 403">
          <a:extLst>
            <a:ext uri="{FF2B5EF4-FFF2-40B4-BE49-F238E27FC236}">
              <a16:creationId xmlns:a16="http://schemas.microsoft.com/office/drawing/2014/main" id="{00000000-0008-0000-0000-000086020000}"/>
            </a:ext>
          </a:extLst>
        </xdr:cNvPr>
        <xdr:cNvSpPr txBox="1">
          <a:spLocks noChangeArrowheads="1"/>
        </xdr:cNvSpPr>
      </xdr:nvSpPr>
      <xdr:spPr bwMode="auto">
        <a:xfrm>
          <a:off x="1476375" y="92583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xdr:row>
      <xdr:rowOff>38100</xdr:rowOff>
    </xdr:from>
    <xdr:to>
      <xdr:col>2</xdr:col>
      <xdr:colOff>85725</xdr:colOff>
      <xdr:row>49</xdr:row>
      <xdr:rowOff>47625</xdr:rowOff>
    </xdr:to>
    <xdr:sp macro="" textlink="">
      <xdr:nvSpPr>
        <xdr:cNvPr id="647" name="Text Box 404">
          <a:extLst>
            <a:ext uri="{FF2B5EF4-FFF2-40B4-BE49-F238E27FC236}">
              <a16:creationId xmlns:a16="http://schemas.microsoft.com/office/drawing/2014/main" id="{00000000-0008-0000-0000-000087020000}"/>
            </a:ext>
          </a:extLst>
        </xdr:cNvPr>
        <xdr:cNvSpPr txBox="1">
          <a:spLocks noChangeArrowheads="1"/>
        </xdr:cNvSpPr>
      </xdr:nvSpPr>
      <xdr:spPr bwMode="auto">
        <a:xfrm>
          <a:off x="1476375" y="92583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49</xdr:row>
      <xdr:rowOff>38100</xdr:rowOff>
    </xdr:from>
    <xdr:to>
      <xdr:col>2</xdr:col>
      <xdr:colOff>85725</xdr:colOff>
      <xdr:row>50</xdr:row>
      <xdr:rowOff>47625</xdr:rowOff>
    </xdr:to>
    <xdr:sp macro="" textlink="">
      <xdr:nvSpPr>
        <xdr:cNvPr id="648" name="Text Box 405">
          <a:extLst>
            <a:ext uri="{FF2B5EF4-FFF2-40B4-BE49-F238E27FC236}">
              <a16:creationId xmlns:a16="http://schemas.microsoft.com/office/drawing/2014/main" id="{00000000-0008-0000-0000-000088020000}"/>
            </a:ext>
          </a:extLst>
        </xdr:cNvPr>
        <xdr:cNvSpPr txBox="1">
          <a:spLocks noChangeArrowheads="1"/>
        </xdr:cNvSpPr>
      </xdr:nvSpPr>
      <xdr:spPr bwMode="auto">
        <a:xfrm>
          <a:off x="1476375" y="94583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49</xdr:row>
      <xdr:rowOff>38100</xdr:rowOff>
    </xdr:from>
    <xdr:to>
      <xdr:col>2</xdr:col>
      <xdr:colOff>85725</xdr:colOff>
      <xdr:row>50</xdr:row>
      <xdr:rowOff>47625</xdr:rowOff>
    </xdr:to>
    <xdr:sp macro="" textlink="">
      <xdr:nvSpPr>
        <xdr:cNvPr id="649" name="Text Box 406">
          <a:extLst>
            <a:ext uri="{FF2B5EF4-FFF2-40B4-BE49-F238E27FC236}">
              <a16:creationId xmlns:a16="http://schemas.microsoft.com/office/drawing/2014/main" id="{00000000-0008-0000-0000-000089020000}"/>
            </a:ext>
          </a:extLst>
        </xdr:cNvPr>
        <xdr:cNvSpPr txBox="1">
          <a:spLocks noChangeArrowheads="1"/>
        </xdr:cNvSpPr>
      </xdr:nvSpPr>
      <xdr:spPr bwMode="auto">
        <a:xfrm>
          <a:off x="1476375" y="94583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71439</xdr:colOff>
      <xdr:row>1</xdr:row>
      <xdr:rowOff>123826</xdr:rowOff>
    </xdr:from>
    <xdr:to>
      <xdr:col>16</xdr:col>
      <xdr:colOff>218043</xdr:colOff>
      <xdr:row>19</xdr:row>
      <xdr:rowOff>172138</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28016</xdr:colOff>
      <xdr:row>1</xdr:row>
      <xdr:rowOff>168089</xdr:rowOff>
    </xdr:from>
    <xdr:to>
      <xdr:col>26</xdr:col>
      <xdr:colOff>345516</xdr:colOff>
      <xdr:row>20</xdr:row>
      <xdr:rowOff>20298</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437089</xdr:colOff>
      <xdr:row>12</xdr:row>
      <xdr:rowOff>56029</xdr:rowOff>
    </xdr:from>
    <xdr:to>
      <xdr:col>11</xdr:col>
      <xdr:colOff>446428</xdr:colOff>
      <xdr:row>12</xdr:row>
      <xdr:rowOff>56029</xdr:rowOff>
    </xdr:to>
    <xdr:cxnSp macro="">
      <xdr:nvCxnSpPr>
        <xdr:cNvPr id="6" name="Straight Connector 5">
          <a:extLst>
            <a:ext uri="{FF2B5EF4-FFF2-40B4-BE49-F238E27FC236}">
              <a16:creationId xmlns:a16="http://schemas.microsoft.com/office/drawing/2014/main" id="{00000000-0008-0000-0A00-000006000000}"/>
            </a:ext>
          </a:extLst>
        </xdr:cNvPr>
        <xdr:cNvCxnSpPr/>
      </xdr:nvCxnSpPr>
      <xdr:spPr>
        <a:xfrm>
          <a:off x="3663299" y="2473126"/>
          <a:ext cx="3675952" cy="0"/>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444045</xdr:colOff>
      <xdr:row>12</xdr:row>
      <xdr:rowOff>43278</xdr:rowOff>
    </xdr:from>
    <xdr:to>
      <xdr:col>11</xdr:col>
      <xdr:colOff>444045</xdr:colOff>
      <xdr:row>18</xdr:row>
      <xdr:rowOff>145998</xdr:rowOff>
    </xdr:to>
    <xdr:cxnSp macro="">
      <xdr:nvCxnSpPr>
        <xdr:cNvPr id="8" name="Straight Connector 7">
          <a:extLst>
            <a:ext uri="{FF2B5EF4-FFF2-40B4-BE49-F238E27FC236}">
              <a16:creationId xmlns:a16="http://schemas.microsoft.com/office/drawing/2014/main" id="{00000000-0008-0000-0A00-000008000000}"/>
            </a:ext>
          </a:extLst>
        </xdr:cNvPr>
        <xdr:cNvCxnSpPr/>
      </xdr:nvCxnSpPr>
      <xdr:spPr>
        <a:xfrm>
          <a:off x="7336868" y="2460375"/>
          <a:ext cx="0" cy="1311268"/>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144517</xdr:colOff>
      <xdr:row>18</xdr:row>
      <xdr:rowOff>177362</xdr:rowOff>
    </xdr:from>
    <xdr:to>
      <xdr:col>12</xdr:col>
      <xdr:colOff>116599</xdr:colOff>
      <xdr:row>20</xdr:row>
      <xdr:rowOff>53846</xdr:rowOff>
    </xdr:to>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7035362" y="3724603"/>
          <a:ext cx="582996" cy="270622"/>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ID" sz="1100"/>
            <a:t>2400</a:t>
          </a:r>
        </a:p>
      </xdr:txBody>
    </xdr:sp>
    <xdr:clientData/>
  </xdr:twoCellAnchor>
  <xdr:twoCellAnchor>
    <xdr:from>
      <xdr:col>4</xdr:col>
      <xdr:colOff>381000</xdr:colOff>
      <xdr:row>11</xdr:row>
      <xdr:rowOff>151086</xdr:rowOff>
    </xdr:from>
    <xdr:to>
      <xdr:col>5</xdr:col>
      <xdr:colOff>353082</xdr:colOff>
      <xdr:row>13</xdr:row>
      <xdr:rowOff>27570</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2995448" y="2318845"/>
          <a:ext cx="582996" cy="270622"/>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ID" sz="1100"/>
            <a:t>1315</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333375</xdr:colOff>
      <xdr:row>8</xdr:row>
      <xdr:rowOff>57150</xdr:rowOff>
    </xdr:from>
    <xdr:to>
      <xdr:col>20</xdr:col>
      <xdr:colOff>685800</xdr:colOff>
      <xdr:row>29</xdr:row>
      <xdr:rowOff>114300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169" b="2571"/>
        <a:stretch>
          <a:fillRect/>
        </a:stretch>
      </xdr:blipFill>
      <xdr:spPr bwMode="auto">
        <a:xfrm>
          <a:off x="3071813" y="1235869"/>
          <a:ext cx="5805487"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24</xdr:row>
      <xdr:rowOff>152400</xdr:rowOff>
    </xdr:from>
    <xdr:to>
      <xdr:col>1</xdr:col>
      <xdr:colOff>609600</xdr:colOff>
      <xdr:row>26</xdr:row>
      <xdr:rowOff>142875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14400" y="6867525"/>
          <a:ext cx="6096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1219200</xdr:colOff>
      <xdr:row>23</xdr:row>
      <xdr:rowOff>9525</xdr:rowOff>
    </xdr:from>
    <xdr:to>
      <xdr:col>2</xdr:col>
      <xdr:colOff>1676400</xdr:colOff>
      <xdr:row>24</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33600" y="6534150"/>
          <a:ext cx="16954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3</xdr:col>
      <xdr:colOff>342900</xdr:colOff>
      <xdr:row>26</xdr:row>
      <xdr:rowOff>19050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52650" y="6905625"/>
          <a:ext cx="203835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6</xdr:row>
      <xdr:rowOff>0</xdr:rowOff>
    </xdr:from>
    <xdr:to>
      <xdr:col>3</xdr:col>
      <xdr:colOff>790575</xdr:colOff>
      <xdr:row>7</xdr:row>
      <xdr:rowOff>19050</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48100" y="1771650"/>
          <a:ext cx="79057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619125</xdr:colOff>
      <xdr:row>6</xdr:row>
      <xdr:rowOff>95250</xdr:rowOff>
    </xdr:from>
    <xdr:to>
      <xdr:col>2</xdr:col>
      <xdr:colOff>1495425</xdr:colOff>
      <xdr:row>6</xdr:row>
      <xdr:rowOff>95250</xdr:rowOff>
    </xdr:to>
    <xdr:cxnSp macro="">
      <xdr:nvCxnSpPr>
        <xdr:cNvPr id="6" name="Straight Arrow Connector 5">
          <a:extLst>
            <a:ext uri="{FF2B5EF4-FFF2-40B4-BE49-F238E27FC236}">
              <a16:creationId xmlns:a16="http://schemas.microsoft.com/office/drawing/2014/main" id="{00000000-0008-0000-0C00-000006000000}"/>
            </a:ext>
          </a:extLst>
        </xdr:cNvPr>
        <xdr:cNvCxnSpPr/>
      </xdr:nvCxnSpPr>
      <xdr:spPr>
        <a:xfrm>
          <a:off x="1533525" y="1866900"/>
          <a:ext cx="2114550" cy="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628650</xdr:colOff>
      <xdr:row>5</xdr:row>
      <xdr:rowOff>57150</xdr:rowOff>
    </xdr:from>
    <xdr:to>
      <xdr:col>1</xdr:col>
      <xdr:colOff>628650</xdr:colOff>
      <xdr:row>6</xdr:row>
      <xdr:rowOff>104775</xdr:rowOff>
    </xdr:to>
    <xdr:cxnSp macro="">
      <xdr:nvCxnSpPr>
        <xdr:cNvPr id="7" name="Straight Connector 6">
          <a:extLst>
            <a:ext uri="{FF2B5EF4-FFF2-40B4-BE49-F238E27FC236}">
              <a16:creationId xmlns:a16="http://schemas.microsoft.com/office/drawing/2014/main" id="{00000000-0008-0000-0C00-000007000000}"/>
            </a:ext>
          </a:extLst>
        </xdr:cNvPr>
        <xdr:cNvCxnSpPr/>
      </xdr:nvCxnSpPr>
      <xdr:spPr>
        <a:xfrm>
          <a:off x="1543050" y="1638300"/>
          <a:ext cx="0" cy="238125"/>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1055370</xdr:colOff>
      <xdr:row>15</xdr:row>
      <xdr:rowOff>64770</xdr:rowOff>
    </xdr:from>
    <xdr:to>
      <xdr:col>4</xdr:col>
      <xdr:colOff>531495</xdr:colOff>
      <xdr:row>15</xdr:row>
      <xdr:rowOff>64770</xdr:rowOff>
    </xdr:to>
    <xdr:cxnSp macro="">
      <xdr:nvCxnSpPr>
        <xdr:cNvPr id="8" name="Straight Arrow Connector 7">
          <a:extLst>
            <a:ext uri="{FF2B5EF4-FFF2-40B4-BE49-F238E27FC236}">
              <a16:creationId xmlns:a16="http://schemas.microsoft.com/office/drawing/2014/main" id="{00000000-0008-0000-0C00-000008000000}"/>
            </a:ext>
          </a:extLst>
        </xdr:cNvPr>
        <xdr:cNvCxnSpPr/>
      </xdr:nvCxnSpPr>
      <xdr:spPr>
        <a:xfrm>
          <a:off x="4903470" y="4522470"/>
          <a:ext cx="2114550" cy="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1074420</xdr:colOff>
      <xdr:row>14</xdr:row>
      <xdr:rowOff>3810</xdr:rowOff>
    </xdr:from>
    <xdr:to>
      <xdr:col>3</xdr:col>
      <xdr:colOff>1074420</xdr:colOff>
      <xdr:row>15</xdr:row>
      <xdr:rowOff>59055</xdr:rowOff>
    </xdr:to>
    <xdr:cxnSp macro="">
      <xdr:nvCxnSpPr>
        <xdr:cNvPr id="9" name="Straight Connector 8">
          <a:extLst>
            <a:ext uri="{FF2B5EF4-FFF2-40B4-BE49-F238E27FC236}">
              <a16:creationId xmlns:a16="http://schemas.microsoft.com/office/drawing/2014/main" id="{00000000-0008-0000-0C00-000009000000}"/>
            </a:ext>
          </a:extLst>
        </xdr:cNvPr>
        <xdr:cNvCxnSpPr/>
      </xdr:nvCxnSpPr>
      <xdr:spPr>
        <a:xfrm>
          <a:off x="4922520" y="4271010"/>
          <a:ext cx="0" cy="245745"/>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1143000</xdr:colOff>
      <xdr:row>14</xdr:row>
      <xdr:rowOff>83820</xdr:rowOff>
    </xdr:from>
    <xdr:to>
      <xdr:col>5</xdr:col>
      <xdr:colOff>171450</xdr:colOff>
      <xdr:row>16</xdr:row>
      <xdr:rowOff>81915</xdr:rowOff>
    </xdr:to>
    <xdr:pic>
      <xdr:nvPicPr>
        <xdr:cNvPr id="10" name="Picture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9525" y="4351020"/>
          <a:ext cx="809625" cy="379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560294</xdr:colOff>
      <xdr:row>14</xdr:row>
      <xdr:rowOff>123618</xdr:rowOff>
    </xdr:from>
    <xdr:to>
      <xdr:col>6</xdr:col>
      <xdr:colOff>1211355</xdr:colOff>
      <xdr:row>15</xdr:row>
      <xdr:rowOff>90767</xdr:rowOff>
    </xdr:to>
    <xdr:pic>
      <xdr:nvPicPr>
        <xdr:cNvPr id="11" name="Picture 10">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30235" y="4415471"/>
          <a:ext cx="2309532" cy="157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1609725</xdr:colOff>
      <xdr:row>6</xdr:row>
      <xdr:rowOff>19050</xdr:rowOff>
    </xdr:from>
    <xdr:to>
      <xdr:col>4</xdr:col>
      <xdr:colOff>1009650</xdr:colOff>
      <xdr:row>7</xdr:row>
      <xdr:rowOff>38100</xdr:rowOff>
    </xdr:to>
    <xdr:pic>
      <xdr:nvPicPr>
        <xdr:cNvPr id="12" name="Picture 1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57825" y="1790700"/>
          <a:ext cx="203835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381000</xdr:colOff>
      <xdr:row>16</xdr:row>
      <xdr:rowOff>172975</xdr:rowOff>
    </xdr:from>
    <xdr:to>
      <xdr:col>7</xdr:col>
      <xdr:colOff>316057</xdr:colOff>
      <xdr:row>31</xdr:row>
      <xdr:rowOff>436169</xdr:rowOff>
    </xdr:to>
    <xdr:grpSp>
      <xdr:nvGrpSpPr>
        <xdr:cNvPr id="13" name="组合 76">
          <a:extLst>
            <a:ext uri="{FF2B5EF4-FFF2-40B4-BE49-F238E27FC236}">
              <a16:creationId xmlns:a16="http://schemas.microsoft.com/office/drawing/2014/main" id="{00000000-0008-0000-0C00-00000D000000}"/>
            </a:ext>
          </a:extLst>
        </xdr:cNvPr>
        <xdr:cNvGrpSpPr/>
      </xdr:nvGrpSpPr>
      <xdr:grpSpPr>
        <a:xfrm>
          <a:off x="8650941" y="4845828"/>
          <a:ext cx="3240792" cy="4118017"/>
          <a:chOff x="467544" y="620688"/>
          <a:chExt cx="3240232" cy="6019344"/>
        </a:xfrm>
      </xdr:grpSpPr>
      <xdr:grpSp>
        <xdr:nvGrpSpPr>
          <xdr:cNvPr id="14" name="组合 69">
            <a:extLst>
              <a:ext uri="{FF2B5EF4-FFF2-40B4-BE49-F238E27FC236}">
                <a16:creationId xmlns:a16="http://schemas.microsoft.com/office/drawing/2014/main" id="{00000000-0008-0000-0C00-00000E000000}"/>
              </a:ext>
            </a:extLst>
          </xdr:cNvPr>
          <xdr:cNvGrpSpPr/>
        </xdr:nvGrpSpPr>
        <xdr:grpSpPr>
          <a:xfrm>
            <a:off x="467544" y="620688"/>
            <a:ext cx="3240232" cy="6019344"/>
            <a:chOff x="467544" y="620688"/>
            <a:chExt cx="3240232" cy="6019344"/>
          </a:xfrm>
        </xdr:grpSpPr>
        <xdr:grpSp>
          <xdr:nvGrpSpPr>
            <xdr:cNvPr id="17" name="组合 63">
              <a:extLst>
                <a:ext uri="{FF2B5EF4-FFF2-40B4-BE49-F238E27FC236}">
                  <a16:creationId xmlns:a16="http://schemas.microsoft.com/office/drawing/2014/main" id="{00000000-0008-0000-0C00-000011000000}"/>
                </a:ext>
              </a:extLst>
            </xdr:cNvPr>
            <xdr:cNvGrpSpPr/>
          </xdr:nvGrpSpPr>
          <xdr:grpSpPr>
            <a:xfrm>
              <a:off x="467544" y="620688"/>
              <a:ext cx="3240232" cy="6019344"/>
              <a:chOff x="1115616" y="620688"/>
              <a:chExt cx="3240232" cy="6019344"/>
            </a:xfrm>
          </xdr:grpSpPr>
          <xdr:grpSp>
            <xdr:nvGrpSpPr>
              <xdr:cNvPr id="22" name="组合 44">
                <a:extLst>
                  <a:ext uri="{FF2B5EF4-FFF2-40B4-BE49-F238E27FC236}">
                    <a16:creationId xmlns:a16="http://schemas.microsoft.com/office/drawing/2014/main" id="{00000000-0008-0000-0C00-000016000000}"/>
                  </a:ext>
                </a:extLst>
              </xdr:cNvPr>
              <xdr:cNvGrpSpPr/>
            </xdr:nvGrpSpPr>
            <xdr:grpSpPr>
              <a:xfrm>
                <a:off x="1115616" y="674478"/>
                <a:ext cx="2376264" cy="5965554"/>
                <a:chOff x="1115616" y="674478"/>
                <a:chExt cx="2376264" cy="5965554"/>
              </a:xfrm>
            </xdr:grpSpPr>
            <xdr:grpSp>
              <xdr:nvGrpSpPr>
                <xdr:cNvPr id="34" name="组合 33">
                  <a:extLst>
                    <a:ext uri="{FF2B5EF4-FFF2-40B4-BE49-F238E27FC236}">
                      <a16:creationId xmlns:a16="http://schemas.microsoft.com/office/drawing/2014/main" id="{00000000-0008-0000-0C00-000022000000}"/>
                    </a:ext>
                  </a:extLst>
                </xdr:cNvPr>
                <xdr:cNvGrpSpPr/>
              </xdr:nvGrpSpPr>
              <xdr:grpSpPr>
                <a:xfrm>
                  <a:off x="1115616" y="1556792"/>
                  <a:ext cx="2376264" cy="5083240"/>
                  <a:chOff x="1115616" y="1556792"/>
                  <a:chExt cx="2376264" cy="5083240"/>
                </a:xfrm>
              </xdr:grpSpPr>
              <xdr:sp macro="" textlink="">
                <xdr:nvSpPr>
                  <xdr:cNvPr id="41" name="等腰三角形 11">
                    <a:extLst>
                      <a:ext uri="{FF2B5EF4-FFF2-40B4-BE49-F238E27FC236}">
                        <a16:creationId xmlns:a16="http://schemas.microsoft.com/office/drawing/2014/main" id="{00000000-0008-0000-0C00-000029000000}"/>
                      </a:ext>
                    </a:extLst>
                  </xdr:cNvPr>
                  <xdr:cNvSpPr/>
                </xdr:nvSpPr>
                <xdr:spPr>
                  <a:xfrm rot="5400000">
                    <a:off x="3131840" y="5661248"/>
                    <a:ext cx="72008" cy="648072"/>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42" name="等腰三角形 12">
                    <a:extLst>
                      <a:ext uri="{FF2B5EF4-FFF2-40B4-BE49-F238E27FC236}">
                        <a16:creationId xmlns:a16="http://schemas.microsoft.com/office/drawing/2014/main" id="{00000000-0008-0000-0C00-00002A000000}"/>
                      </a:ext>
                    </a:extLst>
                  </xdr:cNvPr>
                  <xdr:cNvSpPr/>
                </xdr:nvSpPr>
                <xdr:spPr>
                  <a:xfrm rot="5400000">
                    <a:off x="3131840" y="5733256"/>
                    <a:ext cx="72008" cy="648072"/>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43" name="等腰三角形 13">
                    <a:extLst>
                      <a:ext uri="{FF2B5EF4-FFF2-40B4-BE49-F238E27FC236}">
                        <a16:creationId xmlns:a16="http://schemas.microsoft.com/office/drawing/2014/main" id="{00000000-0008-0000-0C00-00002B000000}"/>
                      </a:ext>
                    </a:extLst>
                  </xdr:cNvPr>
                  <xdr:cNvSpPr/>
                </xdr:nvSpPr>
                <xdr:spPr>
                  <a:xfrm rot="5400000">
                    <a:off x="3131840" y="5805264"/>
                    <a:ext cx="72008" cy="648072"/>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44" name="等腰三角形 14">
                    <a:extLst>
                      <a:ext uri="{FF2B5EF4-FFF2-40B4-BE49-F238E27FC236}">
                        <a16:creationId xmlns:a16="http://schemas.microsoft.com/office/drawing/2014/main" id="{00000000-0008-0000-0C00-00002C000000}"/>
                      </a:ext>
                    </a:extLst>
                  </xdr:cNvPr>
                  <xdr:cNvSpPr/>
                </xdr:nvSpPr>
                <xdr:spPr>
                  <a:xfrm rot="16200000" flipH="1">
                    <a:off x="1403648" y="5805264"/>
                    <a:ext cx="72008" cy="648072"/>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45" name="等腰三角形 15">
                    <a:extLst>
                      <a:ext uri="{FF2B5EF4-FFF2-40B4-BE49-F238E27FC236}">
                        <a16:creationId xmlns:a16="http://schemas.microsoft.com/office/drawing/2014/main" id="{00000000-0008-0000-0C00-00002D000000}"/>
                      </a:ext>
                    </a:extLst>
                  </xdr:cNvPr>
                  <xdr:cNvSpPr/>
                </xdr:nvSpPr>
                <xdr:spPr>
                  <a:xfrm rot="16200000" flipH="1">
                    <a:off x="1403648" y="5661248"/>
                    <a:ext cx="72008" cy="648072"/>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46" name="等腰三角形 16">
                    <a:extLst>
                      <a:ext uri="{FF2B5EF4-FFF2-40B4-BE49-F238E27FC236}">
                        <a16:creationId xmlns:a16="http://schemas.microsoft.com/office/drawing/2014/main" id="{00000000-0008-0000-0C00-00002E000000}"/>
                      </a:ext>
                    </a:extLst>
                  </xdr:cNvPr>
                  <xdr:cNvSpPr/>
                </xdr:nvSpPr>
                <xdr:spPr>
                  <a:xfrm rot="16200000" flipH="1">
                    <a:off x="1403648" y="5733256"/>
                    <a:ext cx="72008" cy="648072"/>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47" name="矩形 17">
                    <a:extLst>
                      <a:ext uri="{FF2B5EF4-FFF2-40B4-BE49-F238E27FC236}">
                        <a16:creationId xmlns:a16="http://schemas.microsoft.com/office/drawing/2014/main" id="{00000000-0008-0000-0C00-00002F000000}"/>
                      </a:ext>
                    </a:extLst>
                  </xdr:cNvPr>
                  <xdr:cNvSpPr/>
                </xdr:nvSpPr>
                <xdr:spPr>
                  <a:xfrm>
                    <a:off x="1763688" y="3472032"/>
                    <a:ext cx="1080120" cy="3168000"/>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grpSp>
                <xdr:nvGrpSpPr>
                  <xdr:cNvPr id="48" name="组合 28">
                    <a:extLst>
                      <a:ext uri="{FF2B5EF4-FFF2-40B4-BE49-F238E27FC236}">
                        <a16:creationId xmlns:a16="http://schemas.microsoft.com/office/drawing/2014/main" id="{00000000-0008-0000-0C00-000030000000}"/>
                      </a:ext>
                    </a:extLst>
                  </xdr:cNvPr>
                  <xdr:cNvGrpSpPr/>
                </xdr:nvGrpSpPr>
                <xdr:grpSpPr>
                  <a:xfrm>
                    <a:off x="2069938" y="4365104"/>
                    <a:ext cx="471782" cy="1512168"/>
                    <a:chOff x="4478476" y="3284984"/>
                    <a:chExt cx="471782" cy="1512168"/>
                  </a:xfrm>
                </xdr:grpSpPr>
                <xdr:grpSp>
                  <xdr:nvGrpSpPr>
                    <xdr:cNvPr id="50" name="组合 27">
                      <a:extLst>
                        <a:ext uri="{FF2B5EF4-FFF2-40B4-BE49-F238E27FC236}">
                          <a16:creationId xmlns:a16="http://schemas.microsoft.com/office/drawing/2014/main" id="{00000000-0008-0000-0C00-000032000000}"/>
                        </a:ext>
                      </a:extLst>
                    </xdr:cNvPr>
                    <xdr:cNvGrpSpPr/>
                  </xdr:nvGrpSpPr>
                  <xdr:grpSpPr>
                    <a:xfrm>
                      <a:off x="4499992" y="3284984"/>
                      <a:ext cx="432048" cy="1296144"/>
                      <a:chOff x="4499992" y="3284984"/>
                      <a:chExt cx="432048" cy="1296144"/>
                    </a:xfrm>
                  </xdr:grpSpPr>
                  <xdr:sp macro="" textlink="">
                    <xdr:nvSpPr>
                      <xdr:cNvPr id="55" name="圆角矩形 18">
                        <a:extLst>
                          <a:ext uri="{FF2B5EF4-FFF2-40B4-BE49-F238E27FC236}">
                            <a16:creationId xmlns:a16="http://schemas.microsoft.com/office/drawing/2014/main" id="{00000000-0008-0000-0C00-000037000000}"/>
                          </a:ext>
                        </a:extLst>
                      </xdr:cNvPr>
                      <xdr:cNvSpPr/>
                    </xdr:nvSpPr>
                    <xdr:spPr>
                      <a:xfrm>
                        <a:off x="4499992" y="3284984"/>
                        <a:ext cx="432048" cy="7200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56" name="圆角矩形 19">
                        <a:extLst>
                          <a:ext uri="{FF2B5EF4-FFF2-40B4-BE49-F238E27FC236}">
                            <a16:creationId xmlns:a16="http://schemas.microsoft.com/office/drawing/2014/main" id="{00000000-0008-0000-0C00-000038000000}"/>
                          </a:ext>
                        </a:extLst>
                      </xdr:cNvPr>
                      <xdr:cNvSpPr/>
                    </xdr:nvSpPr>
                    <xdr:spPr>
                      <a:xfrm>
                        <a:off x="4644008" y="4005064"/>
                        <a:ext cx="144016" cy="7200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57" name="圆角矩形 20">
                        <a:extLst>
                          <a:ext uri="{FF2B5EF4-FFF2-40B4-BE49-F238E27FC236}">
                            <a16:creationId xmlns:a16="http://schemas.microsoft.com/office/drawing/2014/main" id="{00000000-0008-0000-0C00-000039000000}"/>
                          </a:ext>
                        </a:extLst>
                      </xdr:cNvPr>
                      <xdr:cNvSpPr/>
                    </xdr:nvSpPr>
                    <xdr:spPr>
                      <a:xfrm>
                        <a:off x="4499992" y="4077072"/>
                        <a:ext cx="432048" cy="3600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58" name="圆角矩形 21">
                        <a:extLst>
                          <a:ext uri="{FF2B5EF4-FFF2-40B4-BE49-F238E27FC236}">
                            <a16:creationId xmlns:a16="http://schemas.microsoft.com/office/drawing/2014/main" id="{00000000-0008-0000-0C00-00003A000000}"/>
                          </a:ext>
                        </a:extLst>
                      </xdr:cNvPr>
                      <xdr:cNvSpPr/>
                    </xdr:nvSpPr>
                    <xdr:spPr>
                      <a:xfrm>
                        <a:off x="4644008" y="4437112"/>
                        <a:ext cx="144016" cy="14401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grpSp>
                <xdr:grpSp>
                  <xdr:nvGrpSpPr>
                    <xdr:cNvPr id="51" name="组合 26">
                      <a:extLst>
                        <a:ext uri="{FF2B5EF4-FFF2-40B4-BE49-F238E27FC236}">
                          <a16:creationId xmlns:a16="http://schemas.microsoft.com/office/drawing/2014/main" id="{00000000-0008-0000-0C00-000033000000}"/>
                        </a:ext>
                      </a:extLst>
                    </xdr:cNvPr>
                    <xdr:cNvGrpSpPr/>
                  </xdr:nvGrpSpPr>
                  <xdr:grpSpPr>
                    <a:xfrm>
                      <a:off x="4478476" y="4581128"/>
                      <a:ext cx="471782" cy="216024"/>
                      <a:chOff x="4355976" y="4941168"/>
                      <a:chExt cx="504056" cy="216024"/>
                    </a:xfrm>
                  </xdr:grpSpPr>
                  <xdr:sp macro="" textlink="">
                    <xdr:nvSpPr>
                      <xdr:cNvPr id="52" name="圆角矩形 22">
                        <a:extLst>
                          <a:ext uri="{FF2B5EF4-FFF2-40B4-BE49-F238E27FC236}">
                            <a16:creationId xmlns:a16="http://schemas.microsoft.com/office/drawing/2014/main" id="{00000000-0008-0000-0C00-000034000000}"/>
                          </a:ext>
                        </a:extLst>
                      </xdr:cNvPr>
                      <xdr:cNvSpPr/>
                    </xdr:nvSpPr>
                    <xdr:spPr>
                      <a:xfrm>
                        <a:off x="4499992" y="4941168"/>
                        <a:ext cx="216024" cy="2160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53" name="新月形 24">
                        <a:extLst>
                          <a:ext uri="{FF2B5EF4-FFF2-40B4-BE49-F238E27FC236}">
                            <a16:creationId xmlns:a16="http://schemas.microsoft.com/office/drawing/2014/main" id="{00000000-0008-0000-0C00-000035000000}"/>
                          </a:ext>
                        </a:extLst>
                      </xdr:cNvPr>
                      <xdr:cNvSpPr/>
                    </xdr:nvSpPr>
                    <xdr:spPr>
                      <a:xfrm>
                        <a:off x="4355976" y="4941168"/>
                        <a:ext cx="144016" cy="216024"/>
                      </a:xfrm>
                      <a:prstGeom prst="moon">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54" name="新月形 25">
                        <a:extLst>
                          <a:ext uri="{FF2B5EF4-FFF2-40B4-BE49-F238E27FC236}">
                            <a16:creationId xmlns:a16="http://schemas.microsoft.com/office/drawing/2014/main" id="{00000000-0008-0000-0C00-000036000000}"/>
                          </a:ext>
                        </a:extLst>
                      </xdr:cNvPr>
                      <xdr:cNvSpPr/>
                    </xdr:nvSpPr>
                    <xdr:spPr>
                      <a:xfrm flipH="1">
                        <a:off x="4716016" y="4941168"/>
                        <a:ext cx="144016" cy="216024"/>
                      </a:xfrm>
                      <a:prstGeom prst="moon">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grpSp>
              </xdr:grpSp>
              <xdr:sp macro="" textlink="">
                <xdr:nvSpPr>
                  <xdr:cNvPr id="49" name="矩形 31">
                    <a:extLst>
                      <a:ext uri="{FF2B5EF4-FFF2-40B4-BE49-F238E27FC236}">
                        <a16:creationId xmlns:a16="http://schemas.microsoft.com/office/drawing/2014/main" id="{00000000-0008-0000-0C00-000031000000}"/>
                      </a:ext>
                    </a:extLst>
                  </xdr:cNvPr>
                  <xdr:cNvSpPr/>
                </xdr:nvSpPr>
                <xdr:spPr>
                  <a:xfrm>
                    <a:off x="2195736" y="1556792"/>
                    <a:ext cx="216024" cy="2807992"/>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grpSp>
            <xdr:cxnSp macro="">
              <xdr:nvCxnSpPr>
                <xdr:cNvPr id="35" name="直接连接符 35">
                  <a:extLst>
                    <a:ext uri="{FF2B5EF4-FFF2-40B4-BE49-F238E27FC236}">
                      <a16:creationId xmlns:a16="http://schemas.microsoft.com/office/drawing/2014/main" id="{00000000-0008-0000-0C00-000023000000}"/>
                    </a:ext>
                  </a:extLst>
                </xdr:cNvPr>
                <xdr:cNvCxnSpPr/>
              </xdr:nvCxnSpPr>
              <xdr:spPr>
                <a:xfrm>
                  <a:off x="1763688" y="1556792"/>
                  <a:ext cx="10800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 name="矩形 36">
                  <a:extLst>
                    <a:ext uri="{FF2B5EF4-FFF2-40B4-BE49-F238E27FC236}">
                      <a16:creationId xmlns:a16="http://schemas.microsoft.com/office/drawing/2014/main" id="{00000000-0008-0000-0C00-000024000000}"/>
                    </a:ext>
                  </a:extLst>
                </xdr:cNvPr>
                <xdr:cNvSpPr/>
              </xdr:nvSpPr>
              <xdr:spPr>
                <a:xfrm>
                  <a:off x="2224712" y="1052736"/>
                  <a:ext cx="144016" cy="504056"/>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37" name="圆角矩形 37">
                  <a:extLst>
                    <a:ext uri="{FF2B5EF4-FFF2-40B4-BE49-F238E27FC236}">
                      <a16:creationId xmlns:a16="http://schemas.microsoft.com/office/drawing/2014/main" id="{00000000-0008-0000-0C00-000025000000}"/>
                    </a:ext>
                  </a:extLst>
                </xdr:cNvPr>
                <xdr:cNvSpPr/>
              </xdr:nvSpPr>
              <xdr:spPr>
                <a:xfrm>
                  <a:off x="2256986" y="908720"/>
                  <a:ext cx="72008" cy="144016"/>
                </a:xfrm>
                <a:prstGeom prst="round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grpSp>
              <xdr:nvGrpSpPr>
                <xdr:cNvPr id="38" name="组合 43">
                  <a:extLst>
                    <a:ext uri="{FF2B5EF4-FFF2-40B4-BE49-F238E27FC236}">
                      <a16:creationId xmlns:a16="http://schemas.microsoft.com/office/drawing/2014/main" id="{00000000-0008-0000-0C00-000026000000}"/>
                    </a:ext>
                  </a:extLst>
                </xdr:cNvPr>
                <xdr:cNvGrpSpPr/>
              </xdr:nvGrpSpPr>
              <xdr:grpSpPr>
                <a:xfrm>
                  <a:off x="2184978" y="674478"/>
                  <a:ext cx="216024" cy="216024"/>
                  <a:chOff x="4427984" y="1484784"/>
                  <a:chExt cx="216024" cy="216024"/>
                </a:xfrm>
              </xdr:grpSpPr>
              <xdr:sp macro="" textlink="">
                <xdr:nvSpPr>
                  <xdr:cNvPr id="39" name="椭圆 39">
                    <a:extLst>
                      <a:ext uri="{FF2B5EF4-FFF2-40B4-BE49-F238E27FC236}">
                        <a16:creationId xmlns:a16="http://schemas.microsoft.com/office/drawing/2014/main" id="{00000000-0008-0000-0C00-000027000000}"/>
                      </a:ext>
                    </a:extLst>
                  </xdr:cNvPr>
                  <xdr:cNvSpPr/>
                </xdr:nvSpPr>
                <xdr:spPr>
                  <a:xfrm rot="5400000" flipV="1">
                    <a:off x="4427984" y="1484784"/>
                    <a:ext cx="216024" cy="21602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cxnSp macro="">
                <xdr:nvCxnSpPr>
                  <xdr:cNvPr id="40" name="直接箭头连接符 41">
                    <a:extLst>
                      <a:ext uri="{FF2B5EF4-FFF2-40B4-BE49-F238E27FC236}">
                        <a16:creationId xmlns:a16="http://schemas.microsoft.com/office/drawing/2014/main" id="{00000000-0008-0000-0C00-000028000000}"/>
                      </a:ext>
                    </a:extLst>
                  </xdr:cNvPr>
                  <xdr:cNvCxnSpPr/>
                </xdr:nvCxnSpPr>
                <xdr:spPr>
                  <a:xfrm flipV="1">
                    <a:off x="4510750" y="1513768"/>
                    <a:ext cx="108000" cy="108000"/>
                  </a:xfrm>
                  <a:prstGeom prst="straightConnector1">
                    <a:avLst/>
                  </a:prstGeom>
                  <a:ln>
                    <a:solidFill>
                      <a:schemeClr val="tx1"/>
                    </a:solidFill>
                    <a:tailEnd type="triangle"/>
                  </a:ln>
                  <a:effectLst/>
                </xdr:spPr>
                <xdr:style>
                  <a:lnRef idx="1">
                    <a:schemeClr val="accent4"/>
                  </a:lnRef>
                  <a:fillRef idx="0">
                    <a:schemeClr val="accent4"/>
                  </a:fillRef>
                  <a:effectRef idx="0">
                    <a:schemeClr val="accent4"/>
                  </a:effectRef>
                  <a:fontRef idx="minor">
                    <a:schemeClr val="tx1"/>
                  </a:fontRef>
                </xdr:style>
              </xdr:cxnSp>
            </xdr:grpSp>
          </xdr:grpSp>
          <xdr:cxnSp macro="">
            <xdr:nvCxnSpPr>
              <xdr:cNvPr id="23" name="直接连接符 46">
                <a:extLst>
                  <a:ext uri="{FF2B5EF4-FFF2-40B4-BE49-F238E27FC236}">
                    <a16:creationId xmlns:a16="http://schemas.microsoft.com/office/drawing/2014/main" id="{00000000-0008-0000-0C00-000017000000}"/>
                  </a:ext>
                </a:extLst>
              </xdr:cNvPr>
              <xdr:cNvCxnSpPr/>
            </xdr:nvCxnSpPr>
            <xdr:spPr>
              <a:xfrm>
                <a:off x="2843808" y="5805264"/>
                <a:ext cx="144016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接连接符 48">
                <a:extLst>
                  <a:ext uri="{FF2B5EF4-FFF2-40B4-BE49-F238E27FC236}">
                    <a16:creationId xmlns:a16="http://schemas.microsoft.com/office/drawing/2014/main" id="{00000000-0008-0000-0C00-000018000000}"/>
                  </a:ext>
                </a:extLst>
              </xdr:cNvPr>
              <xdr:cNvCxnSpPr/>
            </xdr:nvCxnSpPr>
            <xdr:spPr>
              <a:xfrm>
                <a:off x="2843808" y="3461274"/>
                <a:ext cx="720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接连接符 49">
                <a:extLst>
                  <a:ext uri="{FF2B5EF4-FFF2-40B4-BE49-F238E27FC236}">
                    <a16:creationId xmlns:a16="http://schemas.microsoft.com/office/drawing/2014/main" id="{00000000-0008-0000-0C00-000019000000}"/>
                  </a:ext>
                </a:extLst>
              </xdr:cNvPr>
              <xdr:cNvCxnSpPr/>
            </xdr:nvCxnSpPr>
            <xdr:spPr>
              <a:xfrm>
                <a:off x="1259632" y="1564252"/>
                <a:ext cx="30600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接箭头连接符 51">
                <a:extLst>
                  <a:ext uri="{FF2B5EF4-FFF2-40B4-BE49-F238E27FC236}">
                    <a16:creationId xmlns:a16="http://schemas.microsoft.com/office/drawing/2014/main" id="{00000000-0008-0000-0C00-00001A000000}"/>
                  </a:ext>
                </a:extLst>
              </xdr:cNvPr>
              <xdr:cNvCxnSpPr/>
            </xdr:nvCxnSpPr>
            <xdr:spPr>
              <a:xfrm>
                <a:off x="3131840" y="3465264"/>
                <a:ext cx="0" cy="234000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7" name="直接箭头连接符 52">
                <a:extLst>
                  <a:ext uri="{FF2B5EF4-FFF2-40B4-BE49-F238E27FC236}">
                    <a16:creationId xmlns:a16="http://schemas.microsoft.com/office/drawing/2014/main" id="{00000000-0008-0000-0C00-00001B000000}"/>
                  </a:ext>
                </a:extLst>
              </xdr:cNvPr>
              <xdr:cNvCxnSpPr/>
            </xdr:nvCxnSpPr>
            <xdr:spPr>
              <a:xfrm>
                <a:off x="3851920" y="1556792"/>
                <a:ext cx="0" cy="424800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8" name="矩形 53">
                <a:extLst>
                  <a:ext uri="{FF2B5EF4-FFF2-40B4-BE49-F238E27FC236}">
                    <a16:creationId xmlns:a16="http://schemas.microsoft.com/office/drawing/2014/main" id="{00000000-0008-0000-0C00-00001C000000}"/>
                  </a:ext>
                </a:extLst>
              </xdr:cNvPr>
              <xdr:cNvSpPr/>
            </xdr:nvSpPr>
            <xdr:spPr>
              <a:xfrm>
                <a:off x="2843808" y="4365104"/>
                <a:ext cx="863968" cy="338554"/>
              </a:xfrm>
              <a:prstGeom prst="rect">
                <a:avLst/>
              </a:prstGeom>
              <a:noFill/>
            </xdr:spPr>
            <xdr:txBody>
              <a:bodyPr wrap="square" lIns="91440" tIns="45720" rIns="91440" bIns="45720">
                <a:spAutoFit/>
              </a:bodyPr>
              <a:lstStyle>
                <a:defPPr>
                  <a:defRPr lang="zh-CN"/>
                </a:defPPr>
                <a:lvl1pPr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1pPr>
                <a:lvl2pPr marL="4572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2pPr>
                <a:lvl3pPr marL="9144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3pPr>
                <a:lvl4pPr marL="13716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4pPr>
                <a:lvl5pPr marL="18288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5pPr>
                <a:lvl6pPr marL="2286000" algn="l" defTabSz="914400" rtl="0" eaLnBrk="1" latinLnBrk="0" hangingPunct="1">
                  <a:defRPr sz="1600" kern="1200">
                    <a:solidFill>
                      <a:schemeClr val="tx1"/>
                    </a:solidFill>
                    <a:latin typeface="Arial" charset="0"/>
                    <a:ea typeface="Arial Unicode MS" pitchFamily="34" charset="-122"/>
                    <a:cs typeface="Arial Unicode MS" pitchFamily="34" charset="-122"/>
                  </a:defRPr>
                </a:lvl6pPr>
                <a:lvl7pPr marL="2743200" algn="l" defTabSz="914400" rtl="0" eaLnBrk="1" latinLnBrk="0" hangingPunct="1">
                  <a:defRPr sz="1600" kern="1200">
                    <a:solidFill>
                      <a:schemeClr val="tx1"/>
                    </a:solidFill>
                    <a:latin typeface="Arial" charset="0"/>
                    <a:ea typeface="Arial Unicode MS" pitchFamily="34" charset="-122"/>
                    <a:cs typeface="Arial Unicode MS" pitchFamily="34" charset="-122"/>
                  </a:defRPr>
                </a:lvl7pPr>
                <a:lvl8pPr marL="3200400" algn="l" defTabSz="914400" rtl="0" eaLnBrk="1" latinLnBrk="0" hangingPunct="1">
                  <a:defRPr sz="1600" kern="1200">
                    <a:solidFill>
                      <a:schemeClr val="tx1"/>
                    </a:solidFill>
                    <a:latin typeface="Arial" charset="0"/>
                    <a:ea typeface="Arial Unicode MS" pitchFamily="34" charset="-122"/>
                    <a:cs typeface="Arial Unicode MS" pitchFamily="34" charset="-122"/>
                  </a:defRPr>
                </a:lvl8pPr>
                <a:lvl9pPr marL="3657600" algn="l" defTabSz="914400" rtl="0" eaLnBrk="1" latinLnBrk="0" hangingPunct="1">
                  <a:defRPr sz="1600" kern="1200">
                    <a:solidFill>
                      <a:schemeClr val="tx1"/>
                    </a:solidFill>
                    <a:latin typeface="Arial" charset="0"/>
                    <a:ea typeface="Arial Unicode MS" pitchFamily="34" charset="-122"/>
                    <a:cs typeface="Arial Unicode MS" pitchFamily="34" charset="-122"/>
                  </a:defRPr>
                </a:lvl9pPr>
              </a:lstStyle>
              <a:p>
                <a:pPr algn="ctr"/>
                <a:r>
                  <a:rPr lang="en-US" altLang="zh-CN"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PBHP</a:t>
                </a:r>
                <a:endParaRPr lang="zh-CN" altLang="en-US"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sp macro="" textlink="">
            <xdr:nvSpPr>
              <xdr:cNvPr id="29" name="矩形 54">
                <a:extLst>
                  <a:ext uri="{FF2B5EF4-FFF2-40B4-BE49-F238E27FC236}">
                    <a16:creationId xmlns:a16="http://schemas.microsoft.com/office/drawing/2014/main" id="{00000000-0008-0000-0C00-00001D000000}"/>
                  </a:ext>
                </a:extLst>
              </xdr:cNvPr>
              <xdr:cNvSpPr/>
            </xdr:nvSpPr>
            <xdr:spPr>
              <a:xfrm>
                <a:off x="3491880" y="3284984"/>
                <a:ext cx="863968" cy="338554"/>
              </a:xfrm>
              <a:prstGeom prst="rect">
                <a:avLst/>
              </a:prstGeom>
              <a:noFill/>
            </xdr:spPr>
            <xdr:txBody>
              <a:bodyPr wrap="square" lIns="91440" tIns="45720" rIns="91440" bIns="45720">
                <a:spAutoFit/>
              </a:bodyPr>
              <a:lstStyle>
                <a:defPPr>
                  <a:defRPr lang="zh-CN"/>
                </a:defPPr>
                <a:lvl1pPr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1pPr>
                <a:lvl2pPr marL="4572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2pPr>
                <a:lvl3pPr marL="9144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3pPr>
                <a:lvl4pPr marL="13716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4pPr>
                <a:lvl5pPr marL="18288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5pPr>
                <a:lvl6pPr marL="2286000" algn="l" defTabSz="914400" rtl="0" eaLnBrk="1" latinLnBrk="0" hangingPunct="1">
                  <a:defRPr sz="1600" kern="1200">
                    <a:solidFill>
                      <a:schemeClr val="tx1"/>
                    </a:solidFill>
                    <a:latin typeface="Arial" charset="0"/>
                    <a:ea typeface="Arial Unicode MS" pitchFamily="34" charset="-122"/>
                    <a:cs typeface="Arial Unicode MS" pitchFamily="34" charset="-122"/>
                  </a:defRPr>
                </a:lvl6pPr>
                <a:lvl7pPr marL="2743200" algn="l" defTabSz="914400" rtl="0" eaLnBrk="1" latinLnBrk="0" hangingPunct="1">
                  <a:defRPr sz="1600" kern="1200">
                    <a:solidFill>
                      <a:schemeClr val="tx1"/>
                    </a:solidFill>
                    <a:latin typeface="Arial" charset="0"/>
                    <a:ea typeface="Arial Unicode MS" pitchFamily="34" charset="-122"/>
                    <a:cs typeface="Arial Unicode MS" pitchFamily="34" charset="-122"/>
                  </a:defRPr>
                </a:lvl7pPr>
                <a:lvl8pPr marL="3200400" algn="l" defTabSz="914400" rtl="0" eaLnBrk="1" latinLnBrk="0" hangingPunct="1">
                  <a:defRPr sz="1600" kern="1200">
                    <a:solidFill>
                      <a:schemeClr val="tx1"/>
                    </a:solidFill>
                    <a:latin typeface="Arial" charset="0"/>
                    <a:ea typeface="Arial Unicode MS" pitchFamily="34" charset="-122"/>
                    <a:cs typeface="Arial Unicode MS" pitchFamily="34" charset="-122"/>
                  </a:defRPr>
                </a:lvl8pPr>
                <a:lvl9pPr marL="3657600" algn="l" defTabSz="914400" rtl="0" eaLnBrk="1" latinLnBrk="0" hangingPunct="1">
                  <a:defRPr sz="1600" kern="1200">
                    <a:solidFill>
                      <a:schemeClr val="tx1"/>
                    </a:solidFill>
                    <a:latin typeface="Arial" charset="0"/>
                    <a:ea typeface="Arial Unicode MS" pitchFamily="34" charset="-122"/>
                    <a:cs typeface="Arial Unicode MS" pitchFamily="34" charset="-122"/>
                  </a:defRPr>
                </a:lvl9pPr>
              </a:lstStyle>
              <a:p>
                <a:pPr algn="ctr"/>
                <a:r>
                  <a:rPr lang="en-US" altLang="zh-CN" b="1">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TV</a:t>
                </a:r>
                <a:r>
                  <a:rPr lang="en-US" altLang="zh-CN"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D</a:t>
                </a:r>
                <a:endParaRPr lang="zh-CN" altLang="en-US"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xnSp macro="">
            <xdr:nvCxnSpPr>
              <xdr:cNvPr id="30" name="直接箭头连接符 55">
                <a:extLst>
                  <a:ext uri="{FF2B5EF4-FFF2-40B4-BE49-F238E27FC236}">
                    <a16:creationId xmlns:a16="http://schemas.microsoft.com/office/drawing/2014/main" id="{00000000-0008-0000-0C00-00001E000000}"/>
                  </a:ext>
                </a:extLst>
              </xdr:cNvPr>
              <xdr:cNvCxnSpPr/>
            </xdr:nvCxnSpPr>
            <xdr:spPr>
              <a:xfrm>
                <a:off x="3131840" y="1556792"/>
                <a:ext cx="0" cy="190800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 name="矩形 56">
                <a:extLst>
                  <a:ext uri="{FF2B5EF4-FFF2-40B4-BE49-F238E27FC236}">
                    <a16:creationId xmlns:a16="http://schemas.microsoft.com/office/drawing/2014/main" id="{00000000-0008-0000-0C00-00001F000000}"/>
                  </a:ext>
                </a:extLst>
              </xdr:cNvPr>
              <xdr:cNvSpPr/>
            </xdr:nvSpPr>
            <xdr:spPr>
              <a:xfrm>
                <a:off x="2843808" y="2204864"/>
                <a:ext cx="576064" cy="584775"/>
              </a:xfrm>
              <a:prstGeom prst="rect">
                <a:avLst/>
              </a:prstGeom>
              <a:noFill/>
            </xdr:spPr>
            <xdr:txBody>
              <a:bodyPr wrap="square" lIns="91440" tIns="45720" rIns="91440" bIns="45720">
                <a:spAutoFit/>
              </a:bodyPr>
              <a:lstStyle>
                <a:defPPr>
                  <a:defRPr lang="zh-CN"/>
                </a:defPPr>
                <a:lvl1pPr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1pPr>
                <a:lvl2pPr marL="4572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2pPr>
                <a:lvl3pPr marL="9144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3pPr>
                <a:lvl4pPr marL="13716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4pPr>
                <a:lvl5pPr marL="18288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5pPr>
                <a:lvl6pPr marL="2286000" algn="l" defTabSz="914400" rtl="0" eaLnBrk="1" latinLnBrk="0" hangingPunct="1">
                  <a:defRPr sz="1600" kern="1200">
                    <a:solidFill>
                      <a:schemeClr val="tx1"/>
                    </a:solidFill>
                    <a:latin typeface="Arial" charset="0"/>
                    <a:ea typeface="Arial Unicode MS" pitchFamily="34" charset="-122"/>
                    <a:cs typeface="Arial Unicode MS" pitchFamily="34" charset="-122"/>
                  </a:defRPr>
                </a:lvl6pPr>
                <a:lvl7pPr marL="2743200" algn="l" defTabSz="914400" rtl="0" eaLnBrk="1" latinLnBrk="0" hangingPunct="1">
                  <a:defRPr sz="1600" kern="1200">
                    <a:solidFill>
                      <a:schemeClr val="tx1"/>
                    </a:solidFill>
                    <a:latin typeface="Arial" charset="0"/>
                    <a:ea typeface="Arial Unicode MS" pitchFamily="34" charset="-122"/>
                    <a:cs typeface="Arial Unicode MS" pitchFamily="34" charset="-122"/>
                  </a:defRPr>
                </a:lvl7pPr>
                <a:lvl8pPr marL="3200400" algn="l" defTabSz="914400" rtl="0" eaLnBrk="1" latinLnBrk="0" hangingPunct="1">
                  <a:defRPr sz="1600" kern="1200">
                    <a:solidFill>
                      <a:schemeClr val="tx1"/>
                    </a:solidFill>
                    <a:latin typeface="Arial" charset="0"/>
                    <a:ea typeface="Arial Unicode MS" pitchFamily="34" charset="-122"/>
                    <a:cs typeface="Arial Unicode MS" pitchFamily="34" charset="-122"/>
                  </a:defRPr>
                </a:lvl8pPr>
                <a:lvl9pPr marL="3657600" algn="l" defTabSz="914400" rtl="0" eaLnBrk="1" latinLnBrk="0" hangingPunct="1">
                  <a:defRPr sz="1600" kern="1200">
                    <a:solidFill>
                      <a:schemeClr val="tx1"/>
                    </a:solidFill>
                    <a:latin typeface="Arial" charset="0"/>
                    <a:ea typeface="Arial Unicode MS" pitchFamily="34" charset="-122"/>
                    <a:cs typeface="Arial Unicode MS" pitchFamily="34" charset="-122"/>
                  </a:defRPr>
                </a:lvl9pPr>
              </a:lstStyle>
              <a:p>
                <a:pPr algn="ctr"/>
                <a:r>
                  <a:rPr lang="en-US" altLang="zh-CN" b="1">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Net Lift</a:t>
                </a:r>
                <a:endParaRPr lang="zh-CN" altLang="en-US"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sp macro="" textlink="">
            <xdr:nvSpPr>
              <xdr:cNvPr id="32" name="矩形 58">
                <a:extLst>
                  <a:ext uri="{FF2B5EF4-FFF2-40B4-BE49-F238E27FC236}">
                    <a16:creationId xmlns:a16="http://schemas.microsoft.com/office/drawing/2014/main" id="{00000000-0008-0000-0C00-000020000000}"/>
                  </a:ext>
                </a:extLst>
              </xdr:cNvPr>
              <xdr:cNvSpPr/>
            </xdr:nvSpPr>
            <xdr:spPr>
              <a:xfrm>
                <a:off x="2699792" y="620688"/>
                <a:ext cx="863968" cy="338554"/>
              </a:xfrm>
              <a:prstGeom prst="rect">
                <a:avLst/>
              </a:prstGeom>
              <a:noFill/>
            </xdr:spPr>
            <xdr:txBody>
              <a:bodyPr wrap="square" lIns="91440" tIns="45720" rIns="91440" bIns="45720">
                <a:spAutoFit/>
              </a:bodyPr>
              <a:lstStyle>
                <a:defPPr>
                  <a:defRPr lang="zh-CN"/>
                </a:defPPr>
                <a:lvl1pPr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1pPr>
                <a:lvl2pPr marL="4572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2pPr>
                <a:lvl3pPr marL="9144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3pPr>
                <a:lvl4pPr marL="13716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4pPr>
                <a:lvl5pPr marL="18288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5pPr>
                <a:lvl6pPr marL="2286000" algn="l" defTabSz="914400" rtl="0" eaLnBrk="1" latinLnBrk="0" hangingPunct="1">
                  <a:defRPr sz="1600" kern="1200">
                    <a:solidFill>
                      <a:schemeClr val="tx1"/>
                    </a:solidFill>
                    <a:latin typeface="Arial" charset="0"/>
                    <a:ea typeface="Arial Unicode MS" pitchFamily="34" charset="-122"/>
                    <a:cs typeface="Arial Unicode MS" pitchFamily="34" charset="-122"/>
                  </a:defRPr>
                </a:lvl6pPr>
                <a:lvl7pPr marL="2743200" algn="l" defTabSz="914400" rtl="0" eaLnBrk="1" latinLnBrk="0" hangingPunct="1">
                  <a:defRPr sz="1600" kern="1200">
                    <a:solidFill>
                      <a:schemeClr val="tx1"/>
                    </a:solidFill>
                    <a:latin typeface="Arial" charset="0"/>
                    <a:ea typeface="Arial Unicode MS" pitchFamily="34" charset="-122"/>
                    <a:cs typeface="Arial Unicode MS" pitchFamily="34" charset="-122"/>
                  </a:defRPr>
                </a:lvl7pPr>
                <a:lvl8pPr marL="3200400" algn="l" defTabSz="914400" rtl="0" eaLnBrk="1" latinLnBrk="0" hangingPunct="1">
                  <a:defRPr sz="1600" kern="1200">
                    <a:solidFill>
                      <a:schemeClr val="tx1"/>
                    </a:solidFill>
                    <a:latin typeface="Arial" charset="0"/>
                    <a:ea typeface="Arial Unicode MS" pitchFamily="34" charset="-122"/>
                    <a:cs typeface="Arial Unicode MS" pitchFamily="34" charset="-122"/>
                  </a:defRPr>
                </a:lvl8pPr>
                <a:lvl9pPr marL="3657600" algn="l" defTabSz="914400" rtl="0" eaLnBrk="1" latinLnBrk="0" hangingPunct="1">
                  <a:defRPr sz="1600" kern="1200">
                    <a:solidFill>
                      <a:schemeClr val="tx1"/>
                    </a:solidFill>
                    <a:latin typeface="Arial" charset="0"/>
                    <a:ea typeface="Arial Unicode MS" pitchFamily="34" charset="-122"/>
                    <a:cs typeface="Arial Unicode MS" pitchFamily="34" charset="-122"/>
                  </a:defRPr>
                </a:lvl9pPr>
              </a:lstStyle>
              <a:p>
                <a:pPr algn="ctr"/>
                <a:r>
                  <a:rPr lang="en-US" altLang="zh-CN" b="1">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PSIG</a:t>
                </a:r>
                <a:endParaRPr lang="zh-CN" altLang="en-US"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xnSp macro="">
            <xdr:nvCxnSpPr>
              <xdr:cNvPr id="33" name="直接箭头连接符 60">
                <a:extLst>
                  <a:ext uri="{FF2B5EF4-FFF2-40B4-BE49-F238E27FC236}">
                    <a16:creationId xmlns:a16="http://schemas.microsoft.com/office/drawing/2014/main" id="{00000000-0008-0000-0C00-000021000000}"/>
                  </a:ext>
                </a:extLst>
              </xdr:cNvPr>
              <xdr:cNvCxnSpPr/>
            </xdr:nvCxnSpPr>
            <xdr:spPr>
              <a:xfrm flipH="1">
                <a:off x="2411760" y="764704"/>
                <a:ext cx="432000"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8" name="矩形 64">
              <a:extLst>
                <a:ext uri="{FF2B5EF4-FFF2-40B4-BE49-F238E27FC236}">
                  <a16:creationId xmlns:a16="http://schemas.microsoft.com/office/drawing/2014/main" id="{00000000-0008-0000-0C00-000012000000}"/>
                </a:ext>
              </a:extLst>
            </xdr:cNvPr>
            <xdr:cNvSpPr/>
          </xdr:nvSpPr>
          <xdr:spPr>
            <a:xfrm>
              <a:off x="1259632" y="2348880"/>
              <a:ext cx="863968" cy="338554"/>
            </a:xfrm>
            <a:prstGeom prst="rect">
              <a:avLst/>
            </a:prstGeom>
            <a:noFill/>
          </xdr:spPr>
          <xdr:txBody>
            <a:bodyPr wrap="square" lIns="91440" tIns="45720" rIns="91440" bIns="45720">
              <a:spAutoFit/>
            </a:bodyPr>
            <a:lstStyle>
              <a:defPPr>
                <a:defRPr lang="zh-CN"/>
              </a:defPPr>
              <a:lvl1pPr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1pPr>
              <a:lvl2pPr marL="4572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2pPr>
              <a:lvl3pPr marL="9144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3pPr>
              <a:lvl4pPr marL="13716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4pPr>
              <a:lvl5pPr marL="18288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5pPr>
              <a:lvl6pPr marL="2286000" algn="l" defTabSz="914400" rtl="0" eaLnBrk="1" latinLnBrk="0" hangingPunct="1">
                <a:defRPr sz="1600" kern="1200">
                  <a:solidFill>
                    <a:schemeClr val="tx1"/>
                  </a:solidFill>
                  <a:latin typeface="Arial" charset="0"/>
                  <a:ea typeface="Arial Unicode MS" pitchFamily="34" charset="-122"/>
                  <a:cs typeface="Arial Unicode MS" pitchFamily="34" charset="-122"/>
                </a:defRPr>
              </a:lvl6pPr>
              <a:lvl7pPr marL="2743200" algn="l" defTabSz="914400" rtl="0" eaLnBrk="1" latinLnBrk="0" hangingPunct="1">
                <a:defRPr sz="1600" kern="1200">
                  <a:solidFill>
                    <a:schemeClr val="tx1"/>
                  </a:solidFill>
                  <a:latin typeface="Arial" charset="0"/>
                  <a:ea typeface="Arial Unicode MS" pitchFamily="34" charset="-122"/>
                  <a:cs typeface="Arial Unicode MS" pitchFamily="34" charset="-122"/>
                </a:defRPr>
              </a:lvl7pPr>
              <a:lvl8pPr marL="3200400" algn="l" defTabSz="914400" rtl="0" eaLnBrk="1" latinLnBrk="0" hangingPunct="1">
                <a:defRPr sz="1600" kern="1200">
                  <a:solidFill>
                    <a:schemeClr val="tx1"/>
                  </a:solidFill>
                  <a:latin typeface="Arial" charset="0"/>
                  <a:ea typeface="Arial Unicode MS" pitchFamily="34" charset="-122"/>
                  <a:cs typeface="Arial Unicode MS" pitchFamily="34" charset="-122"/>
                </a:defRPr>
              </a:lvl8pPr>
              <a:lvl9pPr marL="3657600" algn="l" defTabSz="914400" rtl="0" eaLnBrk="1" latinLnBrk="0" hangingPunct="1">
                <a:defRPr sz="1600" kern="1200">
                  <a:solidFill>
                    <a:schemeClr val="tx1"/>
                  </a:solidFill>
                  <a:latin typeface="Arial" charset="0"/>
                  <a:ea typeface="Arial Unicode MS" pitchFamily="34" charset="-122"/>
                  <a:cs typeface="Arial Unicode MS" pitchFamily="34" charset="-122"/>
                </a:defRPr>
              </a:lvl9pPr>
            </a:lstStyle>
            <a:p>
              <a:pPr algn="ctr"/>
              <a:r>
                <a:rPr lang="en-US" altLang="zh-CN" b="1">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PSIF</a:t>
              </a:r>
              <a:endParaRPr lang="zh-CN" altLang="en-US"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sp macro="" textlink="">
          <xdr:nvSpPr>
            <xdr:cNvPr id="19" name="矩形 66">
              <a:extLst>
                <a:ext uri="{FF2B5EF4-FFF2-40B4-BE49-F238E27FC236}">
                  <a16:creationId xmlns:a16="http://schemas.microsoft.com/office/drawing/2014/main" id="{00000000-0008-0000-0C00-000013000000}"/>
                </a:ext>
              </a:extLst>
            </xdr:cNvPr>
            <xdr:cNvSpPr/>
          </xdr:nvSpPr>
          <xdr:spPr>
            <a:xfrm>
              <a:off x="1115616" y="1340768"/>
              <a:ext cx="1080120" cy="529200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20" name="矩形 67">
              <a:extLst>
                <a:ext uri="{FF2B5EF4-FFF2-40B4-BE49-F238E27FC236}">
                  <a16:creationId xmlns:a16="http://schemas.microsoft.com/office/drawing/2014/main" id="{00000000-0008-0000-0C00-000014000000}"/>
                </a:ext>
              </a:extLst>
            </xdr:cNvPr>
            <xdr:cNvSpPr/>
          </xdr:nvSpPr>
          <xdr:spPr>
            <a:xfrm>
              <a:off x="1043608" y="1232768"/>
              <a:ext cx="1224136" cy="108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21" name="矩形 68">
              <a:extLst>
                <a:ext uri="{FF2B5EF4-FFF2-40B4-BE49-F238E27FC236}">
                  <a16:creationId xmlns:a16="http://schemas.microsoft.com/office/drawing/2014/main" id="{00000000-0008-0000-0C00-000015000000}"/>
                </a:ext>
              </a:extLst>
            </xdr:cNvPr>
            <xdr:cNvSpPr/>
          </xdr:nvSpPr>
          <xdr:spPr>
            <a:xfrm>
              <a:off x="1115616" y="1124744"/>
              <a:ext cx="1080000" cy="108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grpSp>
      <xdr:sp macro="" textlink="">
        <xdr:nvSpPr>
          <xdr:cNvPr id="15" name="L 形 70">
            <a:extLst>
              <a:ext uri="{FF2B5EF4-FFF2-40B4-BE49-F238E27FC236}">
                <a16:creationId xmlns:a16="http://schemas.microsoft.com/office/drawing/2014/main" id="{00000000-0008-0000-0C00-00000F000000}"/>
              </a:ext>
            </a:extLst>
          </xdr:cNvPr>
          <xdr:cNvSpPr/>
        </xdr:nvSpPr>
        <xdr:spPr>
          <a:xfrm rot="5400000" flipH="1" flipV="1">
            <a:off x="2375788" y="1106990"/>
            <a:ext cx="216024" cy="576000"/>
          </a:xfrm>
          <a:prstGeom prst="corner">
            <a:avLst/>
          </a:prstGeom>
          <a:no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algn="l" rtl="0" fontAlgn="base">
              <a:spcBef>
                <a:spcPct val="0"/>
              </a:spcBef>
              <a:spcAft>
                <a:spcPct val="0"/>
              </a:spcAft>
              <a:defRPr sz="1600" kern="1200">
                <a:solidFill>
                  <a:schemeClr val="lt1"/>
                </a:solidFill>
                <a:latin typeface="+mn-lt"/>
                <a:ea typeface="+mn-ea"/>
                <a:cs typeface="+mn-cs"/>
              </a:defRPr>
            </a:lvl1pPr>
            <a:lvl2pPr marL="457200" algn="l" rtl="0" fontAlgn="base">
              <a:spcBef>
                <a:spcPct val="0"/>
              </a:spcBef>
              <a:spcAft>
                <a:spcPct val="0"/>
              </a:spcAft>
              <a:defRPr sz="1600" kern="1200">
                <a:solidFill>
                  <a:schemeClr val="lt1"/>
                </a:solidFill>
                <a:latin typeface="+mn-lt"/>
                <a:ea typeface="+mn-ea"/>
                <a:cs typeface="+mn-cs"/>
              </a:defRPr>
            </a:lvl2pPr>
            <a:lvl3pPr marL="914400" algn="l" rtl="0" fontAlgn="base">
              <a:spcBef>
                <a:spcPct val="0"/>
              </a:spcBef>
              <a:spcAft>
                <a:spcPct val="0"/>
              </a:spcAft>
              <a:defRPr sz="1600" kern="1200">
                <a:solidFill>
                  <a:schemeClr val="lt1"/>
                </a:solidFill>
                <a:latin typeface="+mn-lt"/>
                <a:ea typeface="+mn-ea"/>
                <a:cs typeface="+mn-cs"/>
              </a:defRPr>
            </a:lvl3pPr>
            <a:lvl4pPr marL="1371600" algn="l" rtl="0" fontAlgn="base">
              <a:spcBef>
                <a:spcPct val="0"/>
              </a:spcBef>
              <a:spcAft>
                <a:spcPct val="0"/>
              </a:spcAft>
              <a:defRPr sz="1600" kern="1200">
                <a:solidFill>
                  <a:schemeClr val="lt1"/>
                </a:solidFill>
                <a:latin typeface="+mn-lt"/>
                <a:ea typeface="+mn-ea"/>
                <a:cs typeface="+mn-cs"/>
              </a:defRPr>
            </a:lvl4pPr>
            <a:lvl5pPr marL="1828800" algn="l" rtl="0" fontAlgn="base">
              <a:spcBef>
                <a:spcPct val="0"/>
              </a:spcBef>
              <a:spcAft>
                <a:spcPct val="0"/>
              </a:spcAft>
              <a:defRPr sz="1600" kern="1200">
                <a:solidFill>
                  <a:schemeClr val="lt1"/>
                </a:solidFill>
                <a:latin typeface="+mn-lt"/>
                <a:ea typeface="+mn-ea"/>
                <a:cs typeface="+mn-cs"/>
              </a:defRPr>
            </a:lvl5pPr>
            <a:lvl6pPr marL="2286000" algn="l" defTabSz="914400" rtl="0" eaLnBrk="1" latinLnBrk="0" hangingPunct="1">
              <a:defRPr sz="1600" kern="1200">
                <a:solidFill>
                  <a:schemeClr val="lt1"/>
                </a:solidFill>
                <a:latin typeface="+mn-lt"/>
                <a:ea typeface="+mn-ea"/>
                <a:cs typeface="+mn-cs"/>
              </a:defRPr>
            </a:lvl6pPr>
            <a:lvl7pPr marL="2743200" algn="l" defTabSz="914400" rtl="0" eaLnBrk="1" latinLnBrk="0" hangingPunct="1">
              <a:defRPr sz="1600" kern="1200">
                <a:solidFill>
                  <a:schemeClr val="lt1"/>
                </a:solidFill>
                <a:latin typeface="+mn-lt"/>
                <a:ea typeface="+mn-ea"/>
                <a:cs typeface="+mn-cs"/>
              </a:defRPr>
            </a:lvl7pPr>
            <a:lvl8pPr marL="3200400" algn="l" defTabSz="914400" rtl="0" eaLnBrk="1" latinLnBrk="0" hangingPunct="1">
              <a:defRPr sz="1600" kern="1200">
                <a:solidFill>
                  <a:schemeClr val="lt1"/>
                </a:solidFill>
                <a:latin typeface="+mn-lt"/>
                <a:ea typeface="+mn-ea"/>
                <a:cs typeface="+mn-cs"/>
              </a:defRPr>
            </a:lvl8pPr>
            <a:lvl9pPr marL="3657600" algn="l" defTabSz="914400" rtl="0" eaLnBrk="1" latinLnBrk="0" hangingPunct="1">
              <a:defRPr sz="1600" kern="1200">
                <a:solidFill>
                  <a:schemeClr val="lt1"/>
                </a:solidFill>
                <a:latin typeface="+mn-lt"/>
                <a:ea typeface="+mn-ea"/>
                <a:cs typeface="+mn-cs"/>
              </a:defRPr>
            </a:lvl9pPr>
          </a:lstStyle>
          <a:p>
            <a:pPr algn="ctr"/>
            <a:endParaRPr lang="zh-CN" altLang="en-US"/>
          </a:p>
        </xdr:txBody>
      </xdr:sp>
      <xdr:sp macro="" textlink="">
        <xdr:nvSpPr>
          <xdr:cNvPr id="16" name="矩形 71">
            <a:extLst>
              <a:ext uri="{FF2B5EF4-FFF2-40B4-BE49-F238E27FC236}">
                <a16:creationId xmlns:a16="http://schemas.microsoft.com/office/drawing/2014/main" id="{00000000-0008-0000-0C00-000010000000}"/>
              </a:ext>
            </a:extLst>
          </xdr:cNvPr>
          <xdr:cNvSpPr/>
        </xdr:nvSpPr>
        <xdr:spPr>
          <a:xfrm>
            <a:off x="2339752" y="980728"/>
            <a:ext cx="863968" cy="338554"/>
          </a:xfrm>
          <a:prstGeom prst="rect">
            <a:avLst/>
          </a:prstGeom>
          <a:noFill/>
        </xdr:spPr>
        <xdr:txBody>
          <a:bodyPr wrap="square" lIns="91440" tIns="45720" rIns="91440" bIns="45720">
            <a:spAutoFit/>
          </a:bodyPr>
          <a:lstStyle>
            <a:defPPr>
              <a:defRPr lang="zh-CN"/>
            </a:defPPr>
            <a:lvl1pPr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1pPr>
            <a:lvl2pPr marL="4572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2pPr>
            <a:lvl3pPr marL="9144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3pPr>
            <a:lvl4pPr marL="13716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4pPr>
            <a:lvl5pPr marL="1828800" algn="l" rtl="0" fontAlgn="base">
              <a:spcBef>
                <a:spcPct val="0"/>
              </a:spcBef>
              <a:spcAft>
                <a:spcPct val="0"/>
              </a:spcAft>
              <a:defRPr sz="1600" kern="1200">
                <a:solidFill>
                  <a:schemeClr val="tx1"/>
                </a:solidFill>
                <a:latin typeface="Arial" charset="0"/>
                <a:ea typeface="Arial Unicode MS" pitchFamily="34" charset="-122"/>
                <a:cs typeface="Arial Unicode MS" pitchFamily="34" charset="-122"/>
              </a:defRPr>
            </a:lvl5pPr>
            <a:lvl6pPr marL="2286000" algn="l" defTabSz="914400" rtl="0" eaLnBrk="1" latinLnBrk="0" hangingPunct="1">
              <a:defRPr sz="1600" kern="1200">
                <a:solidFill>
                  <a:schemeClr val="tx1"/>
                </a:solidFill>
                <a:latin typeface="Arial" charset="0"/>
                <a:ea typeface="Arial Unicode MS" pitchFamily="34" charset="-122"/>
                <a:cs typeface="Arial Unicode MS" pitchFamily="34" charset="-122"/>
              </a:defRPr>
            </a:lvl6pPr>
            <a:lvl7pPr marL="2743200" algn="l" defTabSz="914400" rtl="0" eaLnBrk="1" latinLnBrk="0" hangingPunct="1">
              <a:defRPr sz="1600" kern="1200">
                <a:solidFill>
                  <a:schemeClr val="tx1"/>
                </a:solidFill>
                <a:latin typeface="Arial" charset="0"/>
                <a:ea typeface="Arial Unicode MS" pitchFamily="34" charset="-122"/>
                <a:cs typeface="Arial Unicode MS" pitchFamily="34" charset="-122"/>
              </a:defRPr>
            </a:lvl7pPr>
            <a:lvl8pPr marL="3200400" algn="l" defTabSz="914400" rtl="0" eaLnBrk="1" latinLnBrk="0" hangingPunct="1">
              <a:defRPr sz="1600" kern="1200">
                <a:solidFill>
                  <a:schemeClr val="tx1"/>
                </a:solidFill>
                <a:latin typeface="Arial" charset="0"/>
                <a:ea typeface="Arial Unicode MS" pitchFamily="34" charset="-122"/>
                <a:cs typeface="Arial Unicode MS" pitchFamily="34" charset="-122"/>
              </a:defRPr>
            </a:lvl8pPr>
            <a:lvl9pPr marL="3657600" algn="l" defTabSz="914400" rtl="0" eaLnBrk="1" latinLnBrk="0" hangingPunct="1">
              <a:defRPr sz="1600" kern="1200">
                <a:solidFill>
                  <a:schemeClr val="tx1"/>
                </a:solidFill>
                <a:latin typeface="Arial" charset="0"/>
                <a:ea typeface="Arial Unicode MS" pitchFamily="34" charset="-122"/>
                <a:cs typeface="Arial Unicode MS" pitchFamily="34" charset="-122"/>
              </a:defRPr>
            </a:lvl9pPr>
          </a:lstStyle>
          <a:p>
            <a:pPr algn="ctr"/>
            <a:r>
              <a:rPr lang="en-US" altLang="zh-CN" b="1">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PSIC</a:t>
            </a:r>
            <a:endParaRPr lang="zh-CN" altLang="en-US"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grpSp>
    <xdr:clientData/>
  </xdr:twoCellAnchor>
  <xdr:oneCellAnchor>
    <xdr:from>
      <xdr:col>5</xdr:col>
      <xdr:colOff>523875</xdr:colOff>
      <xdr:row>30</xdr:row>
      <xdr:rowOff>547687</xdr:rowOff>
    </xdr:from>
    <xdr:ext cx="914400" cy="609013"/>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C00-00003B000000}"/>
                </a:ext>
              </a:extLst>
            </xdr:cNvPr>
            <xdr:cNvSpPr txBox="1"/>
          </xdr:nvSpPr>
          <xdr:spPr>
            <a:xfrm>
              <a:off x="8791575" y="8415337"/>
              <a:ext cx="9144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825F15A7-03F4-43D7-82C5-3E23DA2F108C}" type="mathplaceholder">
                      <a:rPr lang="en-US" sz="1100" i="1">
                        <a:latin typeface="Cambria Math"/>
                      </a:rPr>
                      <a:t>Type equation here.</a:t>
                    </a:fld>
                  </m:oMath>
                </m:oMathPara>
              </a14:m>
              <a:endParaRPr lang="en-US" sz="1100"/>
            </a:p>
          </xdr:txBody>
        </xdr:sp>
      </mc:Choice>
      <mc:Fallback xmlns="">
        <xdr:sp macro="" textlink="">
          <xdr:nvSpPr>
            <xdr:cNvPr id="59" name="TextBox 58">
              <a:extLst>
                <a:ext uri="{FF2B5EF4-FFF2-40B4-BE49-F238E27FC236}">
                  <a16:creationId xmlns:a16="http://schemas.microsoft.com/office/drawing/2014/main" xmlns:a14="http://schemas.microsoft.com/office/drawing/2010/main" xmlns="" id="{00000000-0008-0000-0000-000002000000}"/>
                </a:ext>
              </a:extLst>
            </xdr:cNvPr>
            <xdr:cNvSpPr txBox="1"/>
          </xdr:nvSpPr>
          <xdr:spPr>
            <a:xfrm>
              <a:off x="8791575" y="8415337"/>
              <a:ext cx="9144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r>
                <a:rPr lang="en-US" sz="1100" i="0">
                  <a:latin typeface="Cambria Math"/>
                </a:rPr>
                <a:t>"Type equation here.</a:t>
              </a:r>
              <a:r>
                <a:rPr lang="id-ID" sz="1100" i="0">
                  <a:latin typeface="Cambria Math"/>
                </a:rPr>
                <a:t>"</a:t>
              </a:r>
              <a:endParaRPr lang="en-US" sz="1100"/>
            </a:p>
          </xdr:txBody>
        </xdr:sp>
      </mc:Fallback>
    </mc:AlternateContent>
    <xdr:clientData/>
  </xdr:oneCellAnchor>
  <xdr:oneCellAnchor>
    <xdr:from>
      <xdr:col>3</xdr:col>
      <xdr:colOff>1</xdr:colOff>
      <xdr:row>39</xdr:row>
      <xdr:rowOff>176212</xdr:rowOff>
    </xdr:from>
    <xdr:ext cx="1695450" cy="409215"/>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C00-00003C000000}"/>
                </a:ext>
              </a:extLst>
            </xdr:cNvPr>
            <xdr:cNvSpPr txBox="1"/>
          </xdr:nvSpPr>
          <xdr:spPr>
            <a:xfrm>
              <a:off x="3848101" y="10634662"/>
              <a:ext cx="1695450" cy="409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1" i="1">
                        <a:solidFill>
                          <a:srgbClr val="FF0000"/>
                        </a:solidFill>
                        <a:latin typeface="Cambria Math"/>
                      </a:rPr>
                      <m:t>𝑮𝑶𝑹</m:t>
                    </m:r>
                    <m:r>
                      <a:rPr lang="en-US" sz="1100" b="1" i="1">
                        <a:solidFill>
                          <a:srgbClr val="FF0000"/>
                        </a:solidFill>
                        <a:latin typeface="Cambria Math"/>
                      </a:rPr>
                      <m:t>= </m:t>
                    </m:r>
                    <m:f>
                      <m:fPr>
                        <m:ctrlPr>
                          <a:rPr lang="en-US" sz="1100" b="1" i="1">
                            <a:solidFill>
                              <a:srgbClr val="FF0000"/>
                            </a:solidFill>
                            <a:latin typeface="Cambria Math" panose="02040503050406030204" pitchFamily="18" charset="0"/>
                          </a:rPr>
                        </m:ctrlPr>
                      </m:fPr>
                      <m:num>
                        <m:r>
                          <a:rPr lang="en-US" sz="1100" b="1" i="1">
                            <a:solidFill>
                              <a:srgbClr val="FF0000"/>
                            </a:solidFill>
                            <a:latin typeface="Cambria Math"/>
                          </a:rPr>
                          <m:t>𝑴𝑺𝑪𝑭𝑫𝒙</m:t>
                        </m:r>
                        <m:r>
                          <a:rPr lang="en-US" sz="1100" b="1" i="1">
                            <a:solidFill>
                              <a:srgbClr val="FF0000"/>
                            </a:solidFill>
                            <a:latin typeface="Cambria Math"/>
                          </a:rPr>
                          <m:t>𝟏𝟎𝟎𝟎</m:t>
                        </m:r>
                      </m:num>
                      <m:den>
                        <m:r>
                          <a:rPr lang="en-US" sz="1100" b="1" i="1">
                            <a:solidFill>
                              <a:srgbClr val="FF0000"/>
                            </a:solidFill>
                            <a:latin typeface="Cambria Math"/>
                          </a:rPr>
                          <m:t>𝑩𝑶𝑷𝑫</m:t>
                        </m:r>
                      </m:den>
                    </m:f>
                  </m:oMath>
                </m:oMathPara>
              </a14:m>
              <a:endParaRPr lang="en-US" sz="1100" b="1"/>
            </a:p>
          </xdr:txBody>
        </xdr:sp>
      </mc:Choice>
      <mc:Fallback xmlns="">
        <xdr:sp macro="" textlink="">
          <xdr:nvSpPr>
            <xdr:cNvPr id="60" name="TextBox 59">
              <a:extLst>
                <a:ext uri="{FF2B5EF4-FFF2-40B4-BE49-F238E27FC236}">
                  <a16:creationId xmlns:a16="http://schemas.microsoft.com/office/drawing/2014/main" xmlns:a14="http://schemas.microsoft.com/office/drawing/2010/main" xmlns="" id="{00000000-0008-0000-0000-000003000000}"/>
                </a:ext>
              </a:extLst>
            </xdr:cNvPr>
            <xdr:cNvSpPr txBox="1"/>
          </xdr:nvSpPr>
          <xdr:spPr>
            <a:xfrm>
              <a:off x="3848101" y="10634662"/>
              <a:ext cx="1695450" cy="409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1" i="0">
                  <a:solidFill>
                    <a:srgbClr val="FF0000"/>
                  </a:solidFill>
                  <a:latin typeface="Cambria Math"/>
                </a:rPr>
                <a:t>𝑮𝑶𝑹=  𝑴𝑺𝑪𝑭𝑫𝒙𝟏𝟎𝟎𝟎</a:t>
              </a:r>
              <a:r>
                <a:rPr lang="en-US" sz="1100" b="1" i="0">
                  <a:solidFill>
                    <a:srgbClr val="FF0000"/>
                  </a:solidFill>
                  <a:latin typeface="Cambria Math" panose="02040503050406030204" pitchFamily="18" charset="0"/>
                </a:rPr>
                <a:t>/</a:t>
              </a:r>
              <a:r>
                <a:rPr lang="en-US" sz="1100" b="1" i="0">
                  <a:solidFill>
                    <a:srgbClr val="FF0000"/>
                  </a:solidFill>
                  <a:latin typeface="Cambria Math"/>
                </a:rPr>
                <a:t>𝑩𝑶𝑷𝑫</a:t>
              </a:r>
              <a:endParaRPr lang="en-US" sz="1100" b="1"/>
            </a:p>
          </xdr:txBody>
        </xdr:sp>
      </mc:Fallback>
    </mc:AlternateContent>
    <xdr:clientData/>
  </xdr:oneCellAnchor>
  <xdr:oneCellAnchor>
    <xdr:from>
      <xdr:col>3</xdr:col>
      <xdr:colOff>2095500</xdr:colOff>
      <xdr:row>39</xdr:row>
      <xdr:rowOff>166687</xdr:rowOff>
    </xdr:from>
    <xdr:ext cx="1524000" cy="410433"/>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C00-00003D000000}"/>
                </a:ext>
              </a:extLst>
            </xdr:cNvPr>
            <xdr:cNvSpPr txBox="1"/>
          </xdr:nvSpPr>
          <xdr:spPr>
            <a:xfrm>
              <a:off x="5943600" y="10625137"/>
              <a:ext cx="1524000" cy="4104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1" i="1">
                        <a:solidFill>
                          <a:srgbClr val="FF0000"/>
                        </a:solidFill>
                        <a:latin typeface="Cambria Math"/>
                      </a:rPr>
                      <m:t>𝑷𝑰</m:t>
                    </m:r>
                    <m:r>
                      <a:rPr lang="en-US" sz="1100" b="1" i="1">
                        <a:solidFill>
                          <a:srgbClr val="FF0000"/>
                        </a:solidFill>
                        <a:latin typeface="Cambria Math"/>
                      </a:rPr>
                      <m:t>= </m:t>
                    </m:r>
                    <m:f>
                      <m:fPr>
                        <m:ctrlPr>
                          <a:rPr lang="en-US" sz="1100" b="1" i="1">
                            <a:solidFill>
                              <a:srgbClr val="FF0000"/>
                            </a:solidFill>
                            <a:latin typeface="Cambria Math" panose="02040503050406030204" pitchFamily="18" charset="0"/>
                          </a:rPr>
                        </m:ctrlPr>
                      </m:fPr>
                      <m:num>
                        <m:r>
                          <a:rPr lang="en-US" sz="1100" b="1" i="1">
                            <a:solidFill>
                              <a:srgbClr val="FF0000"/>
                            </a:solidFill>
                            <a:latin typeface="Cambria Math"/>
                          </a:rPr>
                          <m:t>𝑹𝑨𝑻𝑬</m:t>
                        </m:r>
                      </m:num>
                      <m:den>
                        <m:r>
                          <a:rPr lang="en-US" sz="1100" b="1" i="1">
                            <a:solidFill>
                              <a:srgbClr val="FF0000"/>
                            </a:solidFill>
                            <a:latin typeface="Cambria Math"/>
                          </a:rPr>
                          <m:t>𝑺𝑩𝑯𝑷</m:t>
                        </m:r>
                        <m:r>
                          <a:rPr lang="en-US" sz="1100" b="1" i="1">
                            <a:solidFill>
                              <a:srgbClr val="FF0000"/>
                            </a:solidFill>
                            <a:latin typeface="Cambria Math"/>
                          </a:rPr>
                          <m:t>−</m:t>
                        </m:r>
                        <m:r>
                          <a:rPr lang="en-US" sz="1100" b="1" i="1">
                            <a:solidFill>
                              <a:srgbClr val="FF0000"/>
                            </a:solidFill>
                            <a:latin typeface="Cambria Math"/>
                          </a:rPr>
                          <m:t>𝑷𝑩𝑯𝑷</m:t>
                        </m:r>
                      </m:den>
                    </m:f>
                  </m:oMath>
                </m:oMathPara>
              </a14:m>
              <a:endParaRPr lang="en-US" sz="1100" b="1"/>
            </a:p>
          </xdr:txBody>
        </xdr:sp>
      </mc:Choice>
      <mc:Fallback xmlns="">
        <xdr:sp macro="" textlink="">
          <xdr:nvSpPr>
            <xdr:cNvPr id="61" name="TextBox 60">
              <a:extLst>
                <a:ext uri="{FF2B5EF4-FFF2-40B4-BE49-F238E27FC236}">
                  <a16:creationId xmlns:a16="http://schemas.microsoft.com/office/drawing/2014/main" xmlns:a14="http://schemas.microsoft.com/office/drawing/2010/main" xmlns="" id="{00000000-0008-0000-0000-000005000000}"/>
                </a:ext>
              </a:extLst>
            </xdr:cNvPr>
            <xdr:cNvSpPr txBox="1"/>
          </xdr:nvSpPr>
          <xdr:spPr>
            <a:xfrm>
              <a:off x="5943600" y="10625137"/>
              <a:ext cx="1524000" cy="4104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1" i="0">
                  <a:solidFill>
                    <a:srgbClr val="FF0000"/>
                  </a:solidFill>
                  <a:latin typeface="Cambria Math"/>
                </a:rPr>
                <a:t>𝑷𝑰=  𝑹𝑨𝑻𝑬</a:t>
              </a:r>
              <a:r>
                <a:rPr lang="en-US" sz="1100" b="1" i="0">
                  <a:solidFill>
                    <a:srgbClr val="FF0000"/>
                  </a:solidFill>
                  <a:latin typeface="Cambria Math" panose="02040503050406030204" pitchFamily="18" charset="0"/>
                </a:rPr>
                <a:t>/(</a:t>
              </a:r>
              <a:r>
                <a:rPr lang="en-US" sz="1100" b="1" i="0">
                  <a:solidFill>
                    <a:srgbClr val="FF0000"/>
                  </a:solidFill>
                  <a:latin typeface="Cambria Math"/>
                </a:rPr>
                <a:t>𝑺𝑩𝑯𝑷−𝑷𝑩𝑯𝑷</a:t>
              </a:r>
              <a:r>
                <a:rPr lang="en-US" sz="1100" b="1" i="0">
                  <a:solidFill>
                    <a:srgbClr val="FF0000"/>
                  </a:solidFill>
                  <a:latin typeface="Cambria Math" panose="02040503050406030204" pitchFamily="18" charset="0"/>
                </a:rPr>
                <a:t>)</a:t>
              </a:r>
              <a:endParaRPr lang="en-US" sz="1100" b="1"/>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twoCellAnchor>
    <xdr:from>
      <xdr:col>10</xdr:col>
      <xdr:colOff>447675</xdr:colOff>
      <xdr:row>43</xdr:row>
      <xdr:rowOff>123825</xdr:rowOff>
    </xdr:from>
    <xdr:to>
      <xdr:col>10</xdr:col>
      <xdr:colOff>771525</xdr:colOff>
      <xdr:row>47</xdr:row>
      <xdr:rowOff>76200</xdr:rowOff>
    </xdr:to>
    <xdr:grpSp>
      <xdr:nvGrpSpPr>
        <xdr:cNvPr id="2" name="Group 1161">
          <a:extLst>
            <a:ext uri="{FF2B5EF4-FFF2-40B4-BE49-F238E27FC236}">
              <a16:creationId xmlns:a16="http://schemas.microsoft.com/office/drawing/2014/main" id="{00000000-0008-0000-0F00-000002000000}"/>
            </a:ext>
          </a:extLst>
        </xdr:cNvPr>
        <xdr:cNvGrpSpPr>
          <a:grpSpLocks/>
        </xdr:cNvGrpSpPr>
      </xdr:nvGrpSpPr>
      <xdr:grpSpPr bwMode="auto">
        <a:xfrm>
          <a:off x="8240857" y="9579552"/>
          <a:ext cx="323850" cy="852921"/>
          <a:chOff x="759" y="1025"/>
          <a:chExt cx="30" cy="67"/>
        </a:xfrm>
      </xdr:grpSpPr>
      <xdr:sp macro="" textlink="">
        <xdr:nvSpPr>
          <xdr:cNvPr id="3" name="Rectangle 970">
            <a:extLst>
              <a:ext uri="{FF2B5EF4-FFF2-40B4-BE49-F238E27FC236}">
                <a16:creationId xmlns:a16="http://schemas.microsoft.com/office/drawing/2014/main" id="{00000000-0008-0000-0F00-000003000000}"/>
              </a:ext>
            </a:extLst>
          </xdr:cNvPr>
          <xdr:cNvSpPr>
            <a:spLocks noChangeArrowheads="1"/>
          </xdr:cNvSpPr>
        </xdr:nvSpPr>
        <xdr:spPr bwMode="auto">
          <a:xfrm>
            <a:off x="759" y="1025"/>
            <a:ext cx="30" cy="67"/>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4" name="Group 1157">
            <a:extLst>
              <a:ext uri="{FF2B5EF4-FFF2-40B4-BE49-F238E27FC236}">
                <a16:creationId xmlns:a16="http://schemas.microsoft.com/office/drawing/2014/main" id="{00000000-0008-0000-0F00-000004000000}"/>
              </a:ext>
            </a:extLst>
          </xdr:cNvPr>
          <xdr:cNvGrpSpPr>
            <a:grpSpLocks/>
          </xdr:cNvGrpSpPr>
        </xdr:nvGrpSpPr>
        <xdr:grpSpPr bwMode="auto">
          <a:xfrm>
            <a:off x="759" y="1030"/>
            <a:ext cx="30" cy="53"/>
            <a:chOff x="940" y="867"/>
            <a:chExt cx="210" cy="262"/>
          </a:xfrm>
        </xdr:grpSpPr>
        <xdr:sp macro="" textlink="">
          <xdr:nvSpPr>
            <xdr:cNvPr id="5" name="Rectangle 1111">
              <a:extLst>
                <a:ext uri="{FF2B5EF4-FFF2-40B4-BE49-F238E27FC236}">
                  <a16:creationId xmlns:a16="http://schemas.microsoft.com/office/drawing/2014/main" id="{00000000-0008-0000-0F00-000005000000}"/>
                </a:ext>
              </a:extLst>
            </xdr:cNvPr>
            <xdr:cNvSpPr>
              <a:spLocks noChangeArrowheads="1"/>
            </xdr:cNvSpPr>
          </xdr:nvSpPr>
          <xdr:spPr bwMode="auto">
            <a:xfrm>
              <a:off x="940" y="867"/>
              <a:ext cx="210" cy="262"/>
            </a:xfrm>
            <a:prstGeom prst="rect">
              <a:avLst/>
            </a:prstGeom>
            <a:gradFill rotWithShape="0">
              <a:gsLst>
                <a:gs pos="0">
                  <a:srgbClr val="FFFFFF"/>
                </a:gs>
                <a:gs pos="50000">
                  <a:srgbClr xmlns:mc="http://schemas.openxmlformats.org/markup-compatibility/2006" xmlns:a14="http://schemas.microsoft.com/office/drawing/2010/main" val="FF0000" mc:Ignorable="a14" a14:legacySpreadsheetColorIndex="10"/>
                </a:gs>
                <a:gs pos="100000">
                  <a:srgbClr val="FFFFFF"/>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6" name="Group 1153">
              <a:extLst>
                <a:ext uri="{FF2B5EF4-FFF2-40B4-BE49-F238E27FC236}">
                  <a16:creationId xmlns:a16="http://schemas.microsoft.com/office/drawing/2014/main" id="{00000000-0008-0000-0F00-000006000000}"/>
                </a:ext>
              </a:extLst>
            </xdr:cNvPr>
            <xdr:cNvGrpSpPr>
              <a:grpSpLocks/>
            </xdr:cNvGrpSpPr>
          </xdr:nvGrpSpPr>
          <xdr:grpSpPr bwMode="auto">
            <a:xfrm>
              <a:off x="945" y="884"/>
              <a:ext cx="197" cy="49"/>
              <a:chOff x="945" y="884"/>
              <a:chExt cx="197" cy="49"/>
            </a:xfrm>
          </xdr:grpSpPr>
          <xdr:sp macro="" textlink="">
            <xdr:nvSpPr>
              <xdr:cNvPr id="31" name="AutoShape 1113">
                <a:extLst>
                  <a:ext uri="{FF2B5EF4-FFF2-40B4-BE49-F238E27FC236}">
                    <a16:creationId xmlns:a16="http://schemas.microsoft.com/office/drawing/2014/main" id="{00000000-0008-0000-0F00-00001F000000}"/>
                  </a:ext>
                </a:extLst>
              </xdr:cNvPr>
              <xdr:cNvSpPr>
                <a:spLocks noChangeArrowheads="1"/>
              </xdr:cNvSpPr>
            </xdr:nvSpPr>
            <xdr:spPr bwMode="auto">
              <a:xfrm>
                <a:off x="945" y="88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2" name="AutoShape 1114">
                <a:extLst>
                  <a:ext uri="{FF2B5EF4-FFF2-40B4-BE49-F238E27FC236}">
                    <a16:creationId xmlns:a16="http://schemas.microsoft.com/office/drawing/2014/main" id="{00000000-0008-0000-0F00-000020000000}"/>
                  </a:ext>
                </a:extLst>
              </xdr:cNvPr>
              <xdr:cNvSpPr>
                <a:spLocks noChangeArrowheads="1"/>
              </xdr:cNvSpPr>
            </xdr:nvSpPr>
            <xdr:spPr bwMode="auto">
              <a:xfrm>
                <a:off x="975" y="884"/>
                <a:ext cx="16"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3" name="AutoShape 1115">
                <a:extLst>
                  <a:ext uri="{FF2B5EF4-FFF2-40B4-BE49-F238E27FC236}">
                    <a16:creationId xmlns:a16="http://schemas.microsoft.com/office/drawing/2014/main" id="{00000000-0008-0000-0F00-000021000000}"/>
                  </a:ext>
                </a:extLst>
              </xdr:cNvPr>
              <xdr:cNvSpPr>
                <a:spLocks noChangeArrowheads="1"/>
              </xdr:cNvSpPr>
            </xdr:nvSpPr>
            <xdr:spPr bwMode="auto">
              <a:xfrm>
                <a:off x="1006" y="88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4" name="AutoShape 1116">
                <a:extLst>
                  <a:ext uri="{FF2B5EF4-FFF2-40B4-BE49-F238E27FC236}">
                    <a16:creationId xmlns:a16="http://schemas.microsoft.com/office/drawing/2014/main" id="{00000000-0008-0000-0F00-000022000000}"/>
                  </a:ext>
                </a:extLst>
              </xdr:cNvPr>
              <xdr:cNvSpPr>
                <a:spLocks noChangeArrowheads="1"/>
              </xdr:cNvSpPr>
            </xdr:nvSpPr>
            <xdr:spPr bwMode="auto">
              <a:xfrm>
                <a:off x="1036" y="88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5" name="AutoShape 1117">
                <a:extLst>
                  <a:ext uri="{FF2B5EF4-FFF2-40B4-BE49-F238E27FC236}">
                    <a16:creationId xmlns:a16="http://schemas.microsoft.com/office/drawing/2014/main" id="{00000000-0008-0000-0F00-000023000000}"/>
                  </a:ext>
                </a:extLst>
              </xdr:cNvPr>
              <xdr:cNvSpPr>
                <a:spLocks noChangeArrowheads="1"/>
              </xdr:cNvSpPr>
            </xdr:nvSpPr>
            <xdr:spPr bwMode="auto">
              <a:xfrm>
                <a:off x="1066" y="884"/>
                <a:ext cx="16"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6" name="AutoShape 1118">
                <a:extLst>
                  <a:ext uri="{FF2B5EF4-FFF2-40B4-BE49-F238E27FC236}">
                    <a16:creationId xmlns:a16="http://schemas.microsoft.com/office/drawing/2014/main" id="{00000000-0008-0000-0F00-000024000000}"/>
                  </a:ext>
                </a:extLst>
              </xdr:cNvPr>
              <xdr:cNvSpPr>
                <a:spLocks noChangeArrowheads="1"/>
              </xdr:cNvSpPr>
            </xdr:nvSpPr>
            <xdr:spPr bwMode="auto">
              <a:xfrm>
                <a:off x="1097" y="88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7" name="AutoShape 1119">
                <a:extLst>
                  <a:ext uri="{FF2B5EF4-FFF2-40B4-BE49-F238E27FC236}">
                    <a16:creationId xmlns:a16="http://schemas.microsoft.com/office/drawing/2014/main" id="{00000000-0008-0000-0F00-000025000000}"/>
                  </a:ext>
                </a:extLst>
              </xdr:cNvPr>
              <xdr:cNvSpPr>
                <a:spLocks noChangeArrowheads="1"/>
              </xdr:cNvSpPr>
            </xdr:nvSpPr>
            <xdr:spPr bwMode="auto">
              <a:xfrm>
                <a:off x="1127" y="88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7" name="Group 1154">
              <a:extLst>
                <a:ext uri="{FF2B5EF4-FFF2-40B4-BE49-F238E27FC236}">
                  <a16:creationId xmlns:a16="http://schemas.microsoft.com/office/drawing/2014/main" id="{00000000-0008-0000-0F00-000007000000}"/>
                </a:ext>
              </a:extLst>
            </xdr:cNvPr>
            <xdr:cNvGrpSpPr>
              <a:grpSpLocks/>
            </xdr:cNvGrpSpPr>
          </xdr:nvGrpSpPr>
          <xdr:grpSpPr bwMode="auto">
            <a:xfrm>
              <a:off x="945" y="944"/>
              <a:ext cx="197" cy="49"/>
              <a:chOff x="945" y="944"/>
              <a:chExt cx="197" cy="49"/>
            </a:xfrm>
          </xdr:grpSpPr>
          <xdr:sp macro="" textlink="">
            <xdr:nvSpPr>
              <xdr:cNvPr id="24" name="AutoShape 1123">
                <a:extLst>
                  <a:ext uri="{FF2B5EF4-FFF2-40B4-BE49-F238E27FC236}">
                    <a16:creationId xmlns:a16="http://schemas.microsoft.com/office/drawing/2014/main" id="{00000000-0008-0000-0F00-000018000000}"/>
                  </a:ext>
                </a:extLst>
              </xdr:cNvPr>
              <xdr:cNvSpPr>
                <a:spLocks noChangeArrowheads="1"/>
              </xdr:cNvSpPr>
            </xdr:nvSpPr>
            <xdr:spPr bwMode="auto">
              <a:xfrm>
                <a:off x="945" y="94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5" name="AutoShape 1124">
                <a:extLst>
                  <a:ext uri="{FF2B5EF4-FFF2-40B4-BE49-F238E27FC236}">
                    <a16:creationId xmlns:a16="http://schemas.microsoft.com/office/drawing/2014/main" id="{00000000-0008-0000-0F00-000019000000}"/>
                  </a:ext>
                </a:extLst>
              </xdr:cNvPr>
              <xdr:cNvSpPr>
                <a:spLocks noChangeArrowheads="1"/>
              </xdr:cNvSpPr>
            </xdr:nvSpPr>
            <xdr:spPr bwMode="auto">
              <a:xfrm>
                <a:off x="975" y="944"/>
                <a:ext cx="16"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6" name="AutoShape 1125">
                <a:extLst>
                  <a:ext uri="{FF2B5EF4-FFF2-40B4-BE49-F238E27FC236}">
                    <a16:creationId xmlns:a16="http://schemas.microsoft.com/office/drawing/2014/main" id="{00000000-0008-0000-0F00-00001A000000}"/>
                  </a:ext>
                </a:extLst>
              </xdr:cNvPr>
              <xdr:cNvSpPr>
                <a:spLocks noChangeArrowheads="1"/>
              </xdr:cNvSpPr>
            </xdr:nvSpPr>
            <xdr:spPr bwMode="auto">
              <a:xfrm>
                <a:off x="1006" y="94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7" name="AutoShape 1126">
                <a:extLst>
                  <a:ext uri="{FF2B5EF4-FFF2-40B4-BE49-F238E27FC236}">
                    <a16:creationId xmlns:a16="http://schemas.microsoft.com/office/drawing/2014/main" id="{00000000-0008-0000-0F00-00001B000000}"/>
                  </a:ext>
                </a:extLst>
              </xdr:cNvPr>
              <xdr:cNvSpPr>
                <a:spLocks noChangeArrowheads="1"/>
              </xdr:cNvSpPr>
            </xdr:nvSpPr>
            <xdr:spPr bwMode="auto">
              <a:xfrm>
                <a:off x="1036" y="94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8" name="AutoShape 1127">
                <a:extLst>
                  <a:ext uri="{FF2B5EF4-FFF2-40B4-BE49-F238E27FC236}">
                    <a16:creationId xmlns:a16="http://schemas.microsoft.com/office/drawing/2014/main" id="{00000000-0008-0000-0F00-00001C000000}"/>
                  </a:ext>
                </a:extLst>
              </xdr:cNvPr>
              <xdr:cNvSpPr>
                <a:spLocks noChangeArrowheads="1"/>
              </xdr:cNvSpPr>
            </xdr:nvSpPr>
            <xdr:spPr bwMode="auto">
              <a:xfrm>
                <a:off x="1066" y="944"/>
                <a:ext cx="16"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9" name="AutoShape 1128">
                <a:extLst>
                  <a:ext uri="{FF2B5EF4-FFF2-40B4-BE49-F238E27FC236}">
                    <a16:creationId xmlns:a16="http://schemas.microsoft.com/office/drawing/2014/main" id="{00000000-0008-0000-0F00-00001D000000}"/>
                  </a:ext>
                </a:extLst>
              </xdr:cNvPr>
              <xdr:cNvSpPr>
                <a:spLocks noChangeArrowheads="1"/>
              </xdr:cNvSpPr>
            </xdr:nvSpPr>
            <xdr:spPr bwMode="auto">
              <a:xfrm>
                <a:off x="1097" y="94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0" name="AutoShape 1129">
                <a:extLst>
                  <a:ext uri="{FF2B5EF4-FFF2-40B4-BE49-F238E27FC236}">
                    <a16:creationId xmlns:a16="http://schemas.microsoft.com/office/drawing/2014/main" id="{00000000-0008-0000-0F00-00001E000000}"/>
                  </a:ext>
                </a:extLst>
              </xdr:cNvPr>
              <xdr:cNvSpPr>
                <a:spLocks noChangeArrowheads="1"/>
              </xdr:cNvSpPr>
            </xdr:nvSpPr>
            <xdr:spPr bwMode="auto">
              <a:xfrm>
                <a:off x="1127" y="944"/>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8" name="Group 1155">
              <a:extLst>
                <a:ext uri="{FF2B5EF4-FFF2-40B4-BE49-F238E27FC236}">
                  <a16:creationId xmlns:a16="http://schemas.microsoft.com/office/drawing/2014/main" id="{00000000-0008-0000-0F00-000008000000}"/>
                </a:ext>
              </a:extLst>
            </xdr:cNvPr>
            <xdr:cNvGrpSpPr>
              <a:grpSpLocks/>
            </xdr:cNvGrpSpPr>
          </xdr:nvGrpSpPr>
          <xdr:grpSpPr bwMode="auto">
            <a:xfrm>
              <a:off x="945" y="1003"/>
              <a:ext cx="197" cy="49"/>
              <a:chOff x="945" y="1003"/>
              <a:chExt cx="197" cy="49"/>
            </a:xfrm>
          </xdr:grpSpPr>
          <xdr:sp macro="" textlink="">
            <xdr:nvSpPr>
              <xdr:cNvPr id="17" name="AutoShape 1133">
                <a:extLst>
                  <a:ext uri="{FF2B5EF4-FFF2-40B4-BE49-F238E27FC236}">
                    <a16:creationId xmlns:a16="http://schemas.microsoft.com/office/drawing/2014/main" id="{00000000-0008-0000-0F00-000011000000}"/>
                  </a:ext>
                </a:extLst>
              </xdr:cNvPr>
              <xdr:cNvSpPr>
                <a:spLocks noChangeArrowheads="1"/>
              </xdr:cNvSpPr>
            </xdr:nvSpPr>
            <xdr:spPr bwMode="auto">
              <a:xfrm>
                <a:off x="945" y="100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 name="AutoShape 1134">
                <a:extLst>
                  <a:ext uri="{FF2B5EF4-FFF2-40B4-BE49-F238E27FC236}">
                    <a16:creationId xmlns:a16="http://schemas.microsoft.com/office/drawing/2014/main" id="{00000000-0008-0000-0F00-000012000000}"/>
                  </a:ext>
                </a:extLst>
              </xdr:cNvPr>
              <xdr:cNvSpPr>
                <a:spLocks noChangeArrowheads="1"/>
              </xdr:cNvSpPr>
            </xdr:nvSpPr>
            <xdr:spPr bwMode="auto">
              <a:xfrm>
                <a:off x="975" y="1003"/>
                <a:ext cx="16"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 name="AutoShape 1135">
                <a:extLst>
                  <a:ext uri="{FF2B5EF4-FFF2-40B4-BE49-F238E27FC236}">
                    <a16:creationId xmlns:a16="http://schemas.microsoft.com/office/drawing/2014/main" id="{00000000-0008-0000-0F00-000013000000}"/>
                  </a:ext>
                </a:extLst>
              </xdr:cNvPr>
              <xdr:cNvSpPr>
                <a:spLocks noChangeArrowheads="1"/>
              </xdr:cNvSpPr>
            </xdr:nvSpPr>
            <xdr:spPr bwMode="auto">
              <a:xfrm>
                <a:off x="1006" y="100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0" name="AutoShape 1136">
                <a:extLst>
                  <a:ext uri="{FF2B5EF4-FFF2-40B4-BE49-F238E27FC236}">
                    <a16:creationId xmlns:a16="http://schemas.microsoft.com/office/drawing/2014/main" id="{00000000-0008-0000-0F00-000014000000}"/>
                  </a:ext>
                </a:extLst>
              </xdr:cNvPr>
              <xdr:cNvSpPr>
                <a:spLocks noChangeArrowheads="1"/>
              </xdr:cNvSpPr>
            </xdr:nvSpPr>
            <xdr:spPr bwMode="auto">
              <a:xfrm>
                <a:off x="1036" y="100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1" name="AutoShape 1137">
                <a:extLst>
                  <a:ext uri="{FF2B5EF4-FFF2-40B4-BE49-F238E27FC236}">
                    <a16:creationId xmlns:a16="http://schemas.microsoft.com/office/drawing/2014/main" id="{00000000-0008-0000-0F00-000015000000}"/>
                  </a:ext>
                </a:extLst>
              </xdr:cNvPr>
              <xdr:cNvSpPr>
                <a:spLocks noChangeArrowheads="1"/>
              </xdr:cNvSpPr>
            </xdr:nvSpPr>
            <xdr:spPr bwMode="auto">
              <a:xfrm>
                <a:off x="1066" y="1003"/>
                <a:ext cx="16"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2" name="AutoShape 1138">
                <a:extLst>
                  <a:ext uri="{FF2B5EF4-FFF2-40B4-BE49-F238E27FC236}">
                    <a16:creationId xmlns:a16="http://schemas.microsoft.com/office/drawing/2014/main" id="{00000000-0008-0000-0F00-000016000000}"/>
                  </a:ext>
                </a:extLst>
              </xdr:cNvPr>
              <xdr:cNvSpPr>
                <a:spLocks noChangeArrowheads="1"/>
              </xdr:cNvSpPr>
            </xdr:nvSpPr>
            <xdr:spPr bwMode="auto">
              <a:xfrm>
                <a:off x="1097" y="100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 name="AutoShape 1139">
                <a:extLst>
                  <a:ext uri="{FF2B5EF4-FFF2-40B4-BE49-F238E27FC236}">
                    <a16:creationId xmlns:a16="http://schemas.microsoft.com/office/drawing/2014/main" id="{00000000-0008-0000-0F00-000017000000}"/>
                  </a:ext>
                </a:extLst>
              </xdr:cNvPr>
              <xdr:cNvSpPr>
                <a:spLocks noChangeArrowheads="1"/>
              </xdr:cNvSpPr>
            </xdr:nvSpPr>
            <xdr:spPr bwMode="auto">
              <a:xfrm>
                <a:off x="1127" y="100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9" name="Group 1156">
              <a:extLst>
                <a:ext uri="{FF2B5EF4-FFF2-40B4-BE49-F238E27FC236}">
                  <a16:creationId xmlns:a16="http://schemas.microsoft.com/office/drawing/2014/main" id="{00000000-0008-0000-0F00-000009000000}"/>
                </a:ext>
              </a:extLst>
            </xdr:cNvPr>
            <xdr:cNvGrpSpPr>
              <a:grpSpLocks/>
            </xdr:cNvGrpSpPr>
          </xdr:nvGrpSpPr>
          <xdr:grpSpPr bwMode="auto">
            <a:xfrm>
              <a:off x="945" y="1063"/>
              <a:ext cx="197" cy="49"/>
              <a:chOff x="945" y="1063"/>
              <a:chExt cx="197" cy="49"/>
            </a:xfrm>
          </xdr:grpSpPr>
          <xdr:sp macro="" textlink="">
            <xdr:nvSpPr>
              <xdr:cNvPr id="10" name="AutoShape 1143">
                <a:extLst>
                  <a:ext uri="{FF2B5EF4-FFF2-40B4-BE49-F238E27FC236}">
                    <a16:creationId xmlns:a16="http://schemas.microsoft.com/office/drawing/2014/main" id="{00000000-0008-0000-0F00-00000A000000}"/>
                  </a:ext>
                </a:extLst>
              </xdr:cNvPr>
              <xdr:cNvSpPr>
                <a:spLocks noChangeArrowheads="1"/>
              </xdr:cNvSpPr>
            </xdr:nvSpPr>
            <xdr:spPr bwMode="auto">
              <a:xfrm>
                <a:off x="945" y="106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 name="AutoShape 1144">
                <a:extLst>
                  <a:ext uri="{FF2B5EF4-FFF2-40B4-BE49-F238E27FC236}">
                    <a16:creationId xmlns:a16="http://schemas.microsoft.com/office/drawing/2014/main" id="{00000000-0008-0000-0F00-00000B000000}"/>
                  </a:ext>
                </a:extLst>
              </xdr:cNvPr>
              <xdr:cNvSpPr>
                <a:spLocks noChangeArrowheads="1"/>
              </xdr:cNvSpPr>
            </xdr:nvSpPr>
            <xdr:spPr bwMode="auto">
              <a:xfrm>
                <a:off x="975" y="1063"/>
                <a:ext cx="16"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 name="AutoShape 1145">
                <a:extLst>
                  <a:ext uri="{FF2B5EF4-FFF2-40B4-BE49-F238E27FC236}">
                    <a16:creationId xmlns:a16="http://schemas.microsoft.com/office/drawing/2014/main" id="{00000000-0008-0000-0F00-00000C000000}"/>
                  </a:ext>
                </a:extLst>
              </xdr:cNvPr>
              <xdr:cNvSpPr>
                <a:spLocks noChangeArrowheads="1"/>
              </xdr:cNvSpPr>
            </xdr:nvSpPr>
            <xdr:spPr bwMode="auto">
              <a:xfrm>
                <a:off x="1006" y="106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 name="AutoShape 1146">
                <a:extLst>
                  <a:ext uri="{FF2B5EF4-FFF2-40B4-BE49-F238E27FC236}">
                    <a16:creationId xmlns:a16="http://schemas.microsoft.com/office/drawing/2014/main" id="{00000000-0008-0000-0F00-00000D000000}"/>
                  </a:ext>
                </a:extLst>
              </xdr:cNvPr>
              <xdr:cNvSpPr>
                <a:spLocks noChangeArrowheads="1"/>
              </xdr:cNvSpPr>
            </xdr:nvSpPr>
            <xdr:spPr bwMode="auto">
              <a:xfrm>
                <a:off x="1036" y="106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 name="AutoShape 1147">
                <a:extLst>
                  <a:ext uri="{FF2B5EF4-FFF2-40B4-BE49-F238E27FC236}">
                    <a16:creationId xmlns:a16="http://schemas.microsoft.com/office/drawing/2014/main" id="{00000000-0008-0000-0F00-00000E000000}"/>
                  </a:ext>
                </a:extLst>
              </xdr:cNvPr>
              <xdr:cNvSpPr>
                <a:spLocks noChangeArrowheads="1"/>
              </xdr:cNvSpPr>
            </xdr:nvSpPr>
            <xdr:spPr bwMode="auto">
              <a:xfrm>
                <a:off x="1066" y="1063"/>
                <a:ext cx="16"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AutoShape 1148">
                <a:extLst>
                  <a:ext uri="{FF2B5EF4-FFF2-40B4-BE49-F238E27FC236}">
                    <a16:creationId xmlns:a16="http://schemas.microsoft.com/office/drawing/2014/main" id="{00000000-0008-0000-0F00-00000F000000}"/>
                  </a:ext>
                </a:extLst>
              </xdr:cNvPr>
              <xdr:cNvSpPr>
                <a:spLocks noChangeArrowheads="1"/>
              </xdr:cNvSpPr>
            </xdr:nvSpPr>
            <xdr:spPr bwMode="auto">
              <a:xfrm>
                <a:off x="1097" y="106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 name="AutoShape 1149">
                <a:extLst>
                  <a:ext uri="{FF2B5EF4-FFF2-40B4-BE49-F238E27FC236}">
                    <a16:creationId xmlns:a16="http://schemas.microsoft.com/office/drawing/2014/main" id="{00000000-0008-0000-0F00-000010000000}"/>
                  </a:ext>
                </a:extLst>
              </xdr:cNvPr>
              <xdr:cNvSpPr>
                <a:spLocks noChangeArrowheads="1"/>
              </xdr:cNvSpPr>
            </xdr:nvSpPr>
            <xdr:spPr bwMode="auto">
              <a:xfrm>
                <a:off x="1127" y="1063"/>
                <a:ext cx="15" cy="49"/>
              </a:xfrm>
              <a:prstGeom prst="flowChartTermina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grpSp>
    <xdr:clientData/>
  </xdr:twoCellAnchor>
  <xdr:twoCellAnchor>
    <xdr:from>
      <xdr:col>10</xdr:col>
      <xdr:colOff>733425</xdr:colOff>
      <xdr:row>12</xdr:row>
      <xdr:rowOff>114300</xdr:rowOff>
    </xdr:from>
    <xdr:to>
      <xdr:col>13</xdr:col>
      <xdr:colOff>590550</xdr:colOff>
      <xdr:row>12</xdr:row>
      <xdr:rowOff>142875</xdr:rowOff>
    </xdr:to>
    <xdr:sp macro="" textlink="">
      <xdr:nvSpPr>
        <xdr:cNvPr id="38" name="Rectangle 1">
          <a:extLst>
            <a:ext uri="{FF2B5EF4-FFF2-40B4-BE49-F238E27FC236}">
              <a16:creationId xmlns:a16="http://schemas.microsoft.com/office/drawing/2014/main" id="{00000000-0008-0000-0F00-000026000000}"/>
            </a:ext>
          </a:extLst>
        </xdr:cNvPr>
        <xdr:cNvSpPr>
          <a:spLocks noChangeArrowheads="1"/>
        </xdr:cNvSpPr>
      </xdr:nvSpPr>
      <xdr:spPr bwMode="auto">
        <a:xfrm rot="5400000" flipV="1">
          <a:off x="11049000" y="104775"/>
          <a:ext cx="28575" cy="5076825"/>
        </a:xfrm>
        <a:prstGeom prst="rect">
          <a:avLst/>
        </a:prstGeom>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704850</xdr:colOff>
      <xdr:row>11</xdr:row>
      <xdr:rowOff>104775</xdr:rowOff>
    </xdr:from>
    <xdr:to>
      <xdr:col>11</xdr:col>
      <xdr:colOff>1152525</xdr:colOff>
      <xdr:row>16</xdr:row>
      <xdr:rowOff>9525</xdr:rowOff>
    </xdr:to>
    <xdr:grpSp>
      <xdr:nvGrpSpPr>
        <xdr:cNvPr id="39" name="Group 9">
          <a:extLst>
            <a:ext uri="{FF2B5EF4-FFF2-40B4-BE49-F238E27FC236}">
              <a16:creationId xmlns:a16="http://schemas.microsoft.com/office/drawing/2014/main" id="{00000000-0008-0000-0F00-000027000000}"/>
            </a:ext>
          </a:extLst>
        </xdr:cNvPr>
        <xdr:cNvGrpSpPr>
          <a:grpSpLocks/>
        </xdr:cNvGrpSpPr>
      </xdr:nvGrpSpPr>
      <xdr:grpSpPr bwMode="auto">
        <a:xfrm>
          <a:off x="9762259" y="2356139"/>
          <a:ext cx="447675" cy="1030431"/>
          <a:chOff x="487" y="213"/>
          <a:chExt cx="46" cy="69"/>
        </a:xfrm>
      </xdr:grpSpPr>
      <xdr:sp macro="" textlink="">
        <xdr:nvSpPr>
          <xdr:cNvPr id="40" name="Rectangle 10">
            <a:extLst>
              <a:ext uri="{FF2B5EF4-FFF2-40B4-BE49-F238E27FC236}">
                <a16:creationId xmlns:a16="http://schemas.microsoft.com/office/drawing/2014/main" id="{00000000-0008-0000-0F00-000028000000}"/>
              </a:ext>
            </a:extLst>
          </xdr:cNvPr>
          <xdr:cNvSpPr>
            <a:spLocks noChangeArrowheads="1"/>
          </xdr:cNvSpPr>
        </xdr:nvSpPr>
        <xdr:spPr bwMode="auto">
          <a:xfrm>
            <a:off x="491" y="271"/>
            <a:ext cx="41" cy="11"/>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1" name="Rectangle 11">
            <a:extLst>
              <a:ext uri="{FF2B5EF4-FFF2-40B4-BE49-F238E27FC236}">
                <a16:creationId xmlns:a16="http://schemas.microsoft.com/office/drawing/2014/main" id="{00000000-0008-0000-0F00-000029000000}"/>
              </a:ext>
            </a:extLst>
          </xdr:cNvPr>
          <xdr:cNvSpPr>
            <a:spLocks noChangeArrowheads="1"/>
          </xdr:cNvSpPr>
        </xdr:nvSpPr>
        <xdr:spPr bwMode="auto">
          <a:xfrm>
            <a:off x="506" y="251"/>
            <a:ext cx="10" cy="2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2" name="Rectangle 12">
            <a:extLst>
              <a:ext uri="{FF2B5EF4-FFF2-40B4-BE49-F238E27FC236}">
                <a16:creationId xmlns:a16="http://schemas.microsoft.com/office/drawing/2014/main" id="{00000000-0008-0000-0F00-00002A000000}"/>
              </a:ext>
            </a:extLst>
          </xdr:cNvPr>
          <xdr:cNvSpPr>
            <a:spLocks noChangeArrowheads="1"/>
          </xdr:cNvSpPr>
        </xdr:nvSpPr>
        <xdr:spPr bwMode="auto">
          <a:xfrm>
            <a:off x="487" y="213"/>
            <a:ext cx="46" cy="3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3" name="Rectangle 13">
            <a:extLst>
              <a:ext uri="{FF2B5EF4-FFF2-40B4-BE49-F238E27FC236}">
                <a16:creationId xmlns:a16="http://schemas.microsoft.com/office/drawing/2014/main" id="{00000000-0008-0000-0F00-00002B000000}"/>
              </a:ext>
            </a:extLst>
          </xdr:cNvPr>
          <xdr:cNvSpPr>
            <a:spLocks noChangeArrowheads="1"/>
          </xdr:cNvSpPr>
        </xdr:nvSpPr>
        <xdr:spPr bwMode="auto">
          <a:xfrm>
            <a:off x="498" y="225"/>
            <a:ext cx="23" cy="1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9</xdr:col>
      <xdr:colOff>142875</xdr:colOff>
      <xdr:row>82</xdr:row>
      <xdr:rowOff>123825</xdr:rowOff>
    </xdr:from>
    <xdr:to>
      <xdr:col>11</xdr:col>
      <xdr:colOff>85725</xdr:colOff>
      <xdr:row>83</xdr:row>
      <xdr:rowOff>123825</xdr:rowOff>
    </xdr:to>
    <xdr:grpSp>
      <xdr:nvGrpSpPr>
        <xdr:cNvPr id="44" name="Group 15">
          <a:extLst>
            <a:ext uri="{FF2B5EF4-FFF2-40B4-BE49-F238E27FC236}">
              <a16:creationId xmlns:a16="http://schemas.microsoft.com/office/drawing/2014/main" id="{00000000-0008-0000-0F00-00002C000000}"/>
            </a:ext>
          </a:extLst>
        </xdr:cNvPr>
        <xdr:cNvGrpSpPr>
          <a:grpSpLocks/>
        </xdr:cNvGrpSpPr>
      </xdr:nvGrpSpPr>
      <xdr:grpSpPr bwMode="auto">
        <a:xfrm>
          <a:off x="7745557" y="18359870"/>
          <a:ext cx="1397577" cy="225137"/>
          <a:chOff x="43" y="1422"/>
          <a:chExt cx="107" cy="23"/>
        </a:xfrm>
      </xdr:grpSpPr>
      <xdr:sp macro="" textlink="">
        <xdr:nvSpPr>
          <xdr:cNvPr id="45" name="AutoShape 16">
            <a:extLst>
              <a:ext uri="{FF2B5EF4-FFF2-40B4-BE49-F238E27FC236}">
                <a16:creationId xmlns:a16="http://schemas.microsoft.com/office/drawing/2014/main" id="{00000000-0008-0000-0F00-00002D000000}"/>
              </a:ext>
            </a:extLst>
          </xdr:cNvPr>
          <xdr:cNvSpPr>
            <a:spLocks noChangeArrowheads="1"/>
          </xdr:cNvSpPr>
        </xdr:nvSpPr>
        <xdr:spPr bwMode="auto">
          <a:xfrm>
            <a:off x="129" y="1422"/>
            <a:ext cx="21" cy="23"/>
          </a:xfrm>
          <a:prstGeom prst="rtTriangl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6" name="AutoShape 17">
            <a:extLst>
              <a:ext uri="{FF2B5EF4-FFF2-40B4-BE49-F238E27FC236}">
                <a16:creationId xmlns:a16="http://schemas.microsoft.com/office/drawing/2014/main" id="{00000000-0008-0000-0F00-00002E000000}"/>
              </a:ext>
            </a:extLst>
          </xdr:cNvPr>
          <xdr:cNvSpPr>
            <a:spLocks noChangeArrowheads="1"/>
          </xdr:cNvSpPr>
        </xdr:nvSpPr>
        <xdr:spPr bwMode="auto">
          <a:xfrm flipH="1">
            <a:off x="43" y="1422"/>
            <a:ext cx="21" cy="23"/>
          </a:xfrm>
          <a:prstGeom prst="rtTriangl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10</xdr:col>
      <xdr:colOff>419100</xdr:colOff>
      <xdr:row>24</xdr:row>
      <xdr:rowOff>9525</xdr:rowOff>
    </xdr:from>
    <xdr:to>
      <xdr:col>10</xdr:col>
      <xdr:colOff>457200</xdr:colOff>
      <xdr:row>26</xdr:row>
      <xdr:rowOff>0</xdr:rowOff>
    </xdr:to>
    <xdr:sp macro="" textlink="">
      <xdr:nvSpPr>
        <xdr:cNvPr id="47" name="Rectangle 18">
          <a:extLst>
            <a:ext uri="{FF2B5EF4-FFF2-40B4-BE49-F238E27FC236}">
              <a16:creationId xmlns:a16="http://schemas.microsoft.com/office/drawing/2014/main" id="{00000000-0008-0000-0F00-00002F000000}"/>
            </a:ext>
          </a:extLst>
        </xdr:cNvPr>
        <xdr:cNvSpPr>
          <a:spLocks noChangeArrowheads="1"/>
        </xdr:cNvSpPr>
      </xdr:nvSpPr>
      <xdr:spPr bwMode="auto">
        <a:xfrm rot="7380000" flipH="1">
          <a:off x="8005762" y="5472113"/>
          <a:ext cx="447675" cy="38100"/>
        </a:xfrm>
        <a:prstGeom prst="rect">
          <a:avLst/>
        </a:prstGeom>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457200</xdr:colOff>
      <xdr:row>16</xdr:row>
      <xdr:rowOff>9525</xdr:rowOff>
    </xdr:from>
    <xdr:to>
      <xdr:col>10</xdr:col>
      <xdr:colOff>504825</xdr:colOff>
      <xdr:row>24</xdr:row>
      <xdr:rowOff>123825</xdr:rowOff>
    </xdr:to>
    <xdr:sp macro="" textlink="">
      <xdr:nvSpPr>
        <xdr:cNvPr id="48" name="Rectangle 19">
          <a:extLst>
            <a:ext uri="{FF2B5EF4-FFF2-40B4-BE49-F238E27FC236}">
              <a16:creationId xmlns:a16="http://schemas.microsoft.com/office/drawing/2014/main" id="{00000000-0008-0000-0F00-000030000000}"/>
            </a:ext>
          </a:extLst>
        </xdr:cNvPr>
        <xdr:cNvSpPr>
          <a:spLocks noChangeArrowheads="1"/>
        </xdr:cNvSpPr>
      </xdr:nvSpPr>
      <xdr:spPr bwMode="auto">
        <a:xfrm flipH="1">
          <a:off x="8248650" y="3438525"/>
          <a:ext cx="47625" cy="1943100"/>
        </a:xfrm>
        <a:prstGeom prst="rect">
          <a:avLst/>
        </a:prstGeom>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485775</xdr:colOff>
      <xdr:row>15</xdr:row>
      <xdr:rowOff>200025</xdr:rowOff>
    </xdr:from>
    <xdr:to>
      <xdr:col>10</xdr:col>
      <xdr:colOff>704850</xdr:colOff>
      <xdr:row>16</xdr:row>
      <xdr:rowOff>66675</xdr:rowOff>
    </xdr:to>
    <xdr:sp macro="" textlink="">
      <xdr:nvSpPr>
        <xdr:cNvPr id="49" name="AutoShape 73">
          <a:extLst>
            <a:ext uri="{FF2B5EF4-FFF2-40B4-BE49-F238E27FC236}">
              <a16:creationId xmlns:a16="http://schemas.microsoft.com/office/drawing/2014/main" id="{00000000-0008-0000-0F00-000031000000}"/>
            </a:ext>
          </a:extLst>
        </xdr:cNvPr>
        <xdr:cNvSpPr>
          <a:spLocks noChangeArrowheads="1"/>
        </xdr:cNvSpPr>
      </xdr:nvSpPr>
      <xdr:spPr bwMode="auto">
        <a:xfrm rot="10800000">
          <a:off x="8277225" y="3400425"/>
          <a:ext cx="219075" cy="95250"/>
        </a:xfrm>
        <a:prstGeom prst="roundRect">
          <a:avLst>
            <a:gd name="adj" fmla="val 16667"/>
          </a:avLst>
        </a:prstGeom>
        <a:gradFill rotWithShape="0">
          <a:gsLst>
            <a:gs pos="0">
              <a:srgbClr val="454545"/>
            </a:gs>
            <a:gs pos="50000">
              <a:srgbClr xmlns:mc="http://schemas.openxmlformats.org/markup-compatibility/2006" xmlns:a14="http://schemas.microsoft.com/office/drawing/2010/main" val="969696" mc:Ignorable="a14" a14:legacySpreadsheetColorIndex="55"/>
            </a:gs>
            <a:gs pos="100000">
              <a:srgbClr val="454545"/>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495300</xdr:colOff>
      <xdr:row>17</xdr:row>
      <xdr:rowOff>85725</xdr:rowOff>
    </xdr:from>
    <xdr:to>
      <xdr:col>10</xdr:col>
      <xdr:colOff>714375</xdr:colOff>
      <xdr:row>17</xdr:row>
      <xdr:rowOff>171450</xdr:rowOff>
    </xdr:to>
    <xdr:sp macro="" textlink="">
      <xdr:nvSpPr>
        <xdr:cNvPr id="50" name="AutoShape 74">
          <a:extLst>
            <a:ext uri="{FF2B5EF4-FFF2-40B4-BE49-F238E27FC236}">
              <a16:creationId xmlns:a16="http://schemas.microsoft.com/office/drawing/2014/main" id="{00000000-0008-0000-0F00-000032000000}"/>
            </a:ext>
          </a:extLst>
        </xdr:cNvPr>
        <xdr:cNvSpPr>
          <a:spLocks noChangeArrowheads="1"/>
        </xdr:cNvSpPr>
      </xdr:nvSpPr>
      <xdr:spPr bwMode="auto">
        <a:xfrm rot="10141161">
          <a:off x="8286750" y="3743325"/>
          <a:ext cx="219075" cy="85725"/>
        </a:xfrm>
        <a:prstGeom prst="flowChartPunchedTape">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400050</xdr:colOff>
      <xdr:row>16</xdr:row>
      <xdr:rowOff>0</xdr:rowOff>
    </xdr:from>
    <xdr:to>
      <xdr:col>10</xdr:col>
      <xdr:colOff>495300</xdr:colOff>
      <xdr:row>17</xdr:row>
      <xdr:rowOff>114300</xdr:rowOff>
    </xdr:to>
    <xdr:sp macro="" textlink="">
      <xdr:nvSpPr>
        <xdr:cNvPr id="51" name="Rectangle 75">
          <a:extLst>
            <a:ext uri="{FF2B5EF4-FFF2-40B4-BE49-F238E27FC236}">
              <a16:creationId xmlns:a16="http://schemas.microsoft.com/office/drawing/2014/main" id="{00000000-0008-0000-0F00-000033000000}"/>
            </a:ext>
          </a:extLst>
        </xdr:cNvPr>
        <xdr:cNvSpPr>
          <a:spLocks noChangeArrowheads="1"/>
        </xdr:cNvSpPr>
      </xdr:nvSpPr>
      <xdr:spPr bwMode="auto">
        <a:xfrm>
          <a:off x="8191500" y="3429000"/>
          <a:ext cx="95250" cy="342900"/>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514350</xdr:colOff>
      <xdr:row>16</xdr:row>
      <xdr:rowOff>38100</xdr:rowOff>
    </xdr:from>
    <xdr:to>
      <xdr:col>10</xdr:col>
      <xdr:colOff>695325</xdr:colOff>
      <xdr:row>21</xdr:row>
      <xdr:rowOff>114300</xdr:rowOff>
    </xdr:to>
    <xdr:sp macro="" textlink="">
      <xdr:nvSpPr>
        <xdr:cNvPr id="52" name="Rectangle 76">
          <a:extLst>
            <a:ext uri="{FF2B5EF4-FFF2-40B4-BE49-F238E27FC236}">
              <a16:creationId xmlns:a16="http://schemas.microsoft.com/office/drawing/2014/main" id="{00000000-0008-0000-0F00-000034000000}"/>
            </a:ext>
          </a:extLst>
        </xdr:cNvPr>
        <xdr:cNvSpPr>
          <a:spLocks noChangeArrowheads="1"/>
        </xdr:cNvSpPr>
      </xdr:nvSpPr>
      <xdr:spPr bwMode="auto">
        <a:xfrm rot="10800000">
          <a:off x="8305800" y="3467100"/>
          <a:ext cx="180975" cy="1219200"/>
        </a:xfrm>
        <a:prstGeom prst="rect">
          <a:avLst/>
        </a:prstGeom>
        <a:gradFill rotWithShape="0">
          <a:gsLst>
            <a:gs pos="0">
              <a:srgbClr val="454545"/>
            </a:gs>
            <a:gs pos="50000">
              <a:srgbClr xmlns:mc="http://schemas.openxmlformats.org/markup-compatibility/2006" xmlns:a14="http://schemas.microsoft.com/office/drawing/2010/main" val="969696" mc:Ignorable="a14" a14:legacySpreadsheetColorIndex="55"/>
            </a:gs>
            <a:gs pos="100000">
              <a:srgbClr val="454545"/>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504825</xdr:colOff>
      <xdr:row>21</xdr:row>
      <xdr:rowOff>161925</xdr:rowOff>
    </xdr:from>
    <xdr:to>
      <xdr:col>10</xdr:col>
      <xdr:colOff>704850</xdr:colOff>
      <xdr:row>26</xdr:row>
      <xdr:rowOff>57150</xdr:rowOff>
    </xdr:to>
    <xdr:sp macro="" textlink="">
      <xdr:nvSpPr>
        <xdr:cNvPr id="53" name="Rectangle 77">
          <a:extLst>
            <a:ext uri="{FF2B5EF4-FFF2-40B4-BE49-F238E27FC236}">
              <a16:creationId xmlns:a16="http://schemas.microsoft.com/office/drawing/2014/main" id="{00000000-0008-0000-0F00-000035000000}"/>
            </a:ext>
          </a:extLst>
        </xdr:cNvPr>
        <xdr:cNvSpPr>
          <a:spLocks noChangeArrowheads="1"/>
        </xdr:cNvSpPr>
      </xdr:nvSpPr>
      <xdr:spPr bwMode="auto">
        <a:xfrm rot="10800000">
          <a:off x="8296275" y="4733925"/>
          <a:ext cx="200025" cy="1038225"/>
        </a:xfrm>
        <a:prstGeom prst="rect">
          <a:avLst/>
        </a:prstGeom>
        <a:gradFill rotWithShape="0">
          <a:gsLst>
            <a:gs pos="0">
              <a:srgbClr val="454545"/>
            </a:gs>
            <a:gs pos="50000">
              <a:srgbClr xmlns:mc="http://schemas.openxmlformats.org/markup-compatibility/2006" xmlns:a14="http://schemas.microsoft.com/office/drawing/2010/main" val="969696" mc:Ignorable="a14" a14:legacySpreadsheetColorIndex="55"/>
            </a:gs>
            <a:gs pos="100000">
              <a:srgbClr val="454545"/>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495300</xdr:colOff>
      <xdr:row>25</xdr:row>
      <xdr:rowOff>0</xdr:rowOff>
    </xdr:from>
    <xdr:to>
      <xdr:col>10</xdr:col>
      <xdr:colOff>714375</xdr:colOff>
      <xdr:row>25</xdr:row>
      <xdr:rowOff>47625</xdr:rowOff>
    </xdr:to>
    <xdr:sp macro="" textlink="">
      <xdr:nvSpPr>
        <xdr:cNvPr id="54" name="AutoShape 78">
          <a:extLst>
            <a:ext uri="{FF2B5EF4-FFF2-40B4-BE49-F238E27FC236}">
              <a16:creationId xmlns:a16="http://schemas.microsoft.com/office/drawing/2014/main" id="{00000000-0008-0000-0F00-000036000000}"/>
            </a:ext>
          </a:extLst>
        </xdr:cNvPr>
        <xdr:cNvSpPr>
          <a:spLocks noChangeArrowheads="1"/>
        </xdr:cNvSpPr>
      </xdr:nvSpPr>
      <xdr:spPr bwMode="auto">
        <a:xfrm rot="10800000">
          <a:off x="8286750" y="5486400"/>
          <a:ext cx="219075" cy="47625"/>
        </a:xfrm>
        <a:prstGeom prst="roundRect">
          <a:avLst>
            <a:gd name="adj" fmla="val 16667"/>
          </a:avLst>
        </a:prstGeom>
        <a:gradFill rotWithShape="0">
          <a:gsLst>
            <a:gs pos="0">
              <a:srgbClr val="454545"/>
            </a:gs>
            <a:gs pos="50000">
              <a:srgbClr xmlns:mc="http://schemas.openxmlformats.org/markup-compatibility/2006" xmlns:a14="http://schemas.microsoft.com/office/drawing/2010/main" val="969696" mc:Ignorable="a14" a14:legacySpreadsheetColorIndex="55"/>
            </a:gs>
            <a:gs pos="100000">
              <a:srgbClr val="454545"/>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485775</xdr:colOff>
      <xdr:row>21</xdr:row>
      <xdr:rowOff>95250</xdr:rowOff>
    </xdr:from>
    <xdr:to>
      <xdr:col>10</xdr:col>
      <xdr:colOff>704850</xdr:colOff>
      <xdr:row>22</xdr:row>
      <xdr:rowOff>28575</xdr:rowOff>
    </xdr:to>
    <xdr:sp macro="" textlink="">
      <xdr:nvSpPr>
        <xdr:cNvPr id="55" name="AutoShape 79">
          <a:extLst>
            <a:ext uri="{FF2B5EF4-FFF2-40B4-BE49-F238E27FC236}">
              <a16:creationId xmlns:a16="http://schemas.microsoft.com/office/drawing/2014/main" id="{00000000-0008-0000-0F00-000037000000}"/>
            </a:ext>
          </a:extLst>
        </xdr:cNvPr>
        <xdr:cNvSpPr>
          <a:spLocks noChangeArrowheads="1"/>
        </xdr:cNvSpPr>
      </xdr:nvSpPr>
      <xdr:spPr bwMode="auto">
        <a:xfrm rot="10800000">
          <a:off x="8277225" y="4667250"/>
          <a:ext cx="219075" cy="161925"/>
        </a:xfrm>
        <a:prstGeom prst="roundRect">
          <a:avLst>
            <a:gd name="adj" fmla="val 16667"/>
          </a:avLst>
        </a:prstGeom>
        <a:gradFill rotWithShape="0">
          <a:gsLst>
            <a:gs pos="0">
              <a:srgbClr val="454545"/>
            </a:gs>
            <a:gs pos="50000">
              <a:srgbClr xmlns:mc="http://schemas.openxmlformats.org/markup-compatibility/2006" xmlns:a14="http://schemas.microsoft.com/office/drawing/2010/main" val="969696" mc:Ignorable="a14" a14:legacySpreadsheetColorIndex="55"/>
            </a:gs>
            <a:gs pos="100000">
              <a:srgbClr val="454545"/>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447675</xdr:colOff>
      <xdr:row>18</xdr:row>
      <xdr:rowOff>180975</xdr:rowOff>
    </xdr:from>
    <xdr:to>
      <xdr:col>10</xdr:col>
      <xdr:colOff>742950</xdr:colOff>
      <xdr:row>23</xdr:row>
      <xdr:rowOff>9525</xdr:rowOff>
    </xdr:to>
    <xdr:grpSp>
      <xdr:nvGrpSpPr>
        <xdr:cNvPr id="56" name="Group 80">
          <a:extLst>
            <a:ext uri="{FF2B5EF4-FFF2-40B4-BE49-F238E27FC236}">
              <a16:creationId xmlns:a16="http://schemas.microsoft.com/office/drawing/2014/main" id="{00000000-0008-0000-0F00-000038000000}"/>
            </a:ext>
          </a:extLst>
        </xdr:cNvPr>
        <xdr:cNvGrpSpPr>
          <a:grpSpLocks/>
        </xdr:cNvGrpSpPr>
      </xdr:nvGrpSpPr>
      <xdr:grpSpPr bwMode="auto">
        <a:xfrm>
          <a:off x="8240857" y="4008293"/>
          <a:ext cx="295275" cy="954232"/>
          <a:chOff x="351" y="493"/>
          <a:chExt cx="34" cy="40"/>
        </a:xfrm>
      </xdr:grpSpPr>
      <xdr:sp macro="" textlink="">
        <xdr:nvSpPr>
          <xdr:cNvPr id="57" name="AutoShape 81">
            <a:extLst>
              <a:ext uri="{FF2B5EF4-FFF2-40B4-BE49-F238E27FC236}">
                <a16:creationId xmlns:a16="http://schemas.microsoft.com/office/drawing/2014/main" id="{00000000-0008-0000-0F00-000039000000}"/>
              </a:ext>
            </a:extLst>
          </xdr:cNvPr>
          <xdr:cNvSpPr>
            <a:spLocks noChangeArrowheads="1"/>
          </xdr:cNvSpPr>
        </xdr:nvSpPr>
        <xdr:spPr bwMode="auto">
          <a:xfrm>
            <a:off x="382" y="496"/>
            <a:ext cx="3" cy="34"/>
          </a:xfrm>
          <a:prstGeom prst="can">
            <a:avLst>
              <a:gd name="adj" fmla="val 283333"/>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8" name="AutoShape 82">
            <a:extLst>
              <a:ext uri="{FF2B5EF4-FFF2-40B4-BE49-F238E27FC236}">
                <a16:creationId xmlns:a16="http://schemas.microsoft.com/office/drawing/2014/main" id="{00000000-0008-0000-0F00-00003A000000}"/>
              </a:ext>
            </a:extLst>
          </xdr:cNvPr>
          <xdr:cNvSpPr>
            <a:spLocks noChangeArrowheads="1"/>
          </xdr:cNvSpPr>
        </xdr:nvSpPr>
        <xdr:spPr bwMode="auto">
          <a:xfrm>
            <a:off x="351" y="496"/>
            <a:ext cx="3" cy="34"/>
          </a:xfrm>
          <a:prstGeom prst="can">
            <a:avLst>
              <a:gd name="adj" fmla="val 283333"/>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59" name="Group 83">
            <a:extLst>
              <a:ext uri="{FF2B5EF4-FFF2-40B4-BE49-F238E27FC236}">
                <a16:creationId xmlns:a16="http://schemas.microsoft.com/office/drawing/2014/main" id="{00000000-0008-0000-0F00-00003B000000}"/>
              </a:ext>
            </a:extLst>
          </xdr:cNvPr>
          <xdr:cNvGrpSpPr>
            <a:grpSpLocks/>
          </xdr:cNvGrpSpPr>
        </xdr:nvGrpSpPr>
        <xdr:grpSpPr bwMode="auto">
          <a:xfrm>
            <a:off x="351" y="493"/>
            <a:ext cx="34" cy="12"/>
            <a:chOff x="47" y="520"/>
            <a:chExt cx="30" cy="12"/>
          </a:xfrm>
        </xdr:grpSpPr>
        <xdr:sp macro="" textlink="">
          <xdr:nvSpPr>
            <xdr:cNvPr id="63" name="AutoShape 84">
              <a:extLst>
                <a:ext uri="{FF2B5EF4-FFF2-40B4-BE49-F238E27FC236}">
                  <a16:creationId xmlns:a16="http://schemas.microsoft.com/office/drawing/2014/main" id="{00000000-0008-0000-0F00-00003F000000}"/>
                </a:ext>
              </a:extLst>
            </xdr:cNvPr>
            <xdr:cNvSpPr>
              <a:spLocks noChangeArrowheads="1"/>
            </xdr:cNvSpPr>
          </xdr:nvSpPr>
          <xdr:spPr bwMode="auto">
            <a:xfrm>
              <a:off x="47" y="520"/>
              <a:ext cx="30" cy="12"/>
            </a:xfrm>
            <a:prstGeom prst="can">
              <a:avLst>
                <a:gd name="adj" fmla="val 25000"/>
              </a:avLst>
            </a:prstGeom>
            <a:gradFill rotWithShape="0">
              <a:gsLst>
                <a:gs pos="0">
                  <a:srgbClr val="4E4E4E"/>
                </a:gs>
                <a:gs pos="50000">
                  <a:srgbClr xmlns:mc="http://schemas.openxmlformats.org/markup-compatibility/2006" xmlns:a14="http://schemas.microsoft.com/office/drawing/2010/main" val="808080" mc:Ignorable="a14" a14:legacySpreadsheetColorIndex="23"/>
                </a:gs>
                <a:gs pos="100000">
                  <a:srgbClr val="4E4E4E"/>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64" name="Line 85">
              <a:extLst>
                <a:ext uri="{FF2B5EF4-FFF2-40B4-BE49-F238E27FC236}">
                  <a16:creationId xmlns:a16="http://schemas.microsoft.com/office/drawing/2014/main" id="{00000000-0008-0000-0F00-000040000000}"/>
                </a:ext>
              </a:extLst>
            </xdr:cNvPr>
            <xdr:cNvSpPr>
              <a:spLocks noChangeShapeType="1"/>
            </xdr:cNvSpPr>
          </xdr:nvSpPr>
          <xdr:spPr bwMode="auto">
            <a:xfrm>
              <a:off x="61" y="523"/>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nvGrpSpPr>
          <xdr:cNvPr id="60" name="Group 86">
            <a:extLst>
              <a:ext uri="{FF2B5EF4-FFF2-40B4-BE49-F238E27FC236}">
                <a16:creationId xmlns:a16="http://schemas.microsoft.com/office/drawing/2014/main" id="{00000000-0008-0000-0F00-00003C000000}"/>
              </a:ext>
            </a:extLst>
          </xdr:cNvPr>
          <xdr:cNvGrpSpPr>
            <a:grpSpLocks/>
          </xdr:cNvGrpSpPr>
        </xdr:nvGrpSpPr>
        <xdr:grpSpPr bwMode="auto">
          <a:xfrm>
            <a:off x="351" y="521"/>
            <a:ext cx="34" cy="12"/>
            <a:chOff x="47" y="549"/>
            <a:chExt cx="30" cy="12"/>
          </a:xfrm>
        </xdr:grpSpPr>
        <xdr:sp macro="" textlink="">
          <xdr:nvSpPr>
            <xdr:cNvPr id="61" name="AutoShape 87">
              <a:extLst>
                <a:ext uri="{FF2B5EF4-FFF2-40B4-BE49-F238E27FC236}">
                  <a16:creationId xmlns:a16="http://schemas.microsoft.com/office/drawing/2014/main" id="{00000000-0008-0000-0F00-00003D000000}"/>
                </a:ext>
              </a:extLst>
            </xdr:cNvPr>
            <xdr:cNvSpPr>
              <a:spLocks noChangeArrowheads="1"/>
            </xdr:cNvSpPr>
          </xdr:nvSpPr>
          <xdr:spPr bwMode="auto">
            <a:xfrm>
              <a:off x="47" y="549"/>
              <a:ext cx="30" cy="12"/>
            </a:xfrm>
            <a:prstGeom prst="can">
              <a:avLst>
                <a:gd name="adj" fmla="val 25000"/>
              </a:avLst>
            </a:prstGeom>
            <a:gradFill rotWithShape="0">
              <a:gsLst>
                <a:gs pos="0">
                  <a:srgbClr val="4E4E4E"/>
                </a:gs>
                <a:gs pos="50000">
                  <a:srgbClr xmlns:mc="http://schemas.openxmlformats.org/markup-compatibility/2006" xmlns:a14="http://schemas.microsoft.com/office/drawing/2010/main" val="808080" mc:Ignorable="a14" a14:legacySpreadsheetColorIndex="23"/>
                </a:gs>
                <a:gs pos="100000">
                  <a:srgbClr val="4E4E4E"/>
                </a:gs>
              </a:gsLst>
              <a:lin ang="0" scaled="1"/>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62" name="Line 88">
              <a:extLst>
                <a:ext uri="{FF2B5EF4-FFF2-40B4-BE49-F238E27FC236}">
                  <a16:creationId xmlns:a16="http://schemas.microsoft.com/office/drawing/2014/main" id="{00000000-0008-0000-0F00-00003E000000}"/>
                </a:ext>
              </a:extLst>
            </xdr:cNvPr>
            <xdr:cNvSpPr>
              <a:spLocks noChangeShapeType="1"/>
            </xdr:cNvSpPr>
          </xdr:nvSpPr>
          <xdr:spPr bwMode="auto">
            <a:xfrm>
              <a:off x="61" y="551"/>
              <a:ext cx="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10</xdr:col>
      <xdr:colOff>495300</xdr:colOff>
      <xdr:row>25</xdr:row>
      <xdr:rowOff>47625</xdr:rowOff>
    </xdr:from>
    <xdr:to>
      <xdr:col>10</xdr:col>
      <xdr:colOff>714375</xdr:colOff>
      <xdr:row>26</xdr:row>
      <xdr:rowOff>76200</xdr:rowOff>
    </xdr:to>
    <xdr:sp macro="" textlink="">
      <xdr:nvSpPr>
        <xdr:cNvPr id="65" name="Rectangle 89">
          <a:extLst>
            <a:ext uri="{FF2B5EF4-FFF2-40B4-BE49-F238E27FC236}">
              <a16:creationId xmlns:a16="http://schemas.microsoft.com/office/drawing/2014/main" id="{00000000-0008-0000-0F00-000041000000}"/>
            </a:ext>
          </a:extLst>
        </xdr:cNvPr>
        <xdr:cNvSpPr>
          <a:spLocks noChangeArrowheads="1"/>
        </xdr:cNvSpPr>
      </xdr:nvSpPr>
      <xdr:spPr bwMode="auto">
        <a:xfrm>
          <a:off x="8286750" y="5534025"/>
          <a:ext cx="219075" cy="257175"/>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447675</xdr:colOff>
      <xdr:row>26</xdr:row>
      <xdr:rowOff>85725</xdr:rowOff>
    </xdr:from>
    <xdr:to>
      <xdr:col>10</xdr:col>
      <xdr:colOff>771525</xdr:colOff>
      <xdr:row>26</xdr:row>
      <xdr:rowOff>142875</xdr:rowOff>
    </xdr:to>
    <xdr:sp macro="" textlink="">
      <xdr:nvSpPr>
        <xdr:cNvPr id="66" name="Rectangle 90">
          <a:extLst>
            <a:ext uri="{FF2B5EF4-FFF2-40B4-BE49-F238E27FC236}">
              <a16:creationId xmlns:a16="http://schemas.microsoft.com/office/drawing/2014/main" id="{00000000-0008-0000-0F00-000042000000}"/>
            </a:ext>
          </a:extLst>
        </xdr:cNvPr>
        <xdr:cNvSpPr>
          <a:spLocks noChangeArrowheads="1"/>
        </xdr:cNvSpPr>
      </xdr:nvSpPr>
      <xdr:spPr bwMode="auto">
        <a:xfrm>
          <a:off x="8239125" y="5800725"/>
          <a:ext cx="323850" cy="57150"/>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12</xdr:col>
      <xdr:colOff>409575</xdr:colOff>
      <xdr:row>8</xdr:row>
      <xdr:rowOff>200025</xdr:rowOff>
    </xdr:from>
    <xdr:to>
      <xdr:col>12</xdr:col>
      <xdr:colOff>1343025</xdr:colOff>
      <xdr:row>15</xdr:row>
      <xdr:rowOff>219075</xdr:rowOff>
    </xdr:to>
    <xdr:grpSp>
      <xdr:nvGrpSpPr>
        <xdr:cNvPr id="67" name="Group 91">
          <a:extLst>
            <a:ext uri="{FF2B5EF4-FFF2-40B4-BE49-F238E27FC236}">
              <a16:creationId xmlns:a16="http://schemas.microsoft.com/office/drawing/2014/main" id="{00000000-0008-0000-0F00-000043000000}"/>
            </a:ext>
          </a:extLst>
        </xdr:cNvPr>
        <xdr:cNvGrpSpPr>
          <a:grpSpLocks/>
        </xdr:cNvGrpSpPr>
      </xdr:nvGrpSpPr>
      <xdr:grpSpPr bwMode="auto">
        <a:xfrm>
          <a:off x="11597120" y="1775980"/>
          <a:ext cx="933450" cy="1595004"/>
          <a:chOff x="781" y="159"/>
          <a:chExt cx="95" cy="117"/>
        </a:xfrm>
      </xdr:grpSpPr>
      <xdr:sp macro="" textlink="">
        <xdr:nvSpPr>
          <xdr:cNvPr id="68" name="Rectangle 92">
            <a:extLst>
              <a:ext uri="{FF2B5EF4-FFF2-40B4-BE49-F238E27FC236}">
                <a16:creationId xmlns:a16="http://schemas.microsoft.com/office/drawing/2014/main" id="{00000000-0008-0000-0F00-000044000000}"/>
              </a:ext>
            </a:extLst>
          </xdr:cNvPr>
          <xdr:cNvSpPr>
            <a:spLocks noChangeArrowheads="1"/>
          </xdr:cNvSpPr>
        </xdr:nvSpPr>
        <xdr:spPr bwMode="auto">
          <a:xfrm>
            <a:off x="781" y="256"/>
            <a:ext cx="95" cy="2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69" name="Group 93">
            <a:extLst>
              <a:ext uri="{FF2B5EF4-FFF2-40B4-BE49-F238E27FC236}">
                <a16:creationId xmlns:a16="http://schemas.microsoft.com/office/drawing/2014/main" id="{00000000-0008-0000-0F00-000045000000}"/>
              </a:ext>
            </a:extLst>
          </xdr:cNvPr>
          <xdr:cNvGrpSpPr>
            <a:grpSpLocks/>
          </xdr:cNvGrpSpPr>
        </xdr:nvGrpSpPr>
        <xdr:grpSpPr bwMode="auto">
          <a:xfrm>
            <a:off x="786" y="159"/>
            <a:ext cx="80" cy="97"/>
            <a:chOff x="109" y="121"/>
            <a:chExt cx="61" cy="72"/>
          </a:xfrm>
        </xdr:grpSpPr>
        <xdr:sp macro="" textlink="">
          <xdr:nvSpPr>
            <xdr:cNvPr id="70" name="Rectangle 94">
              <a:extLst>
                <a:ext uri="{FF2B5EF4-FFF2-40B4-BE49-F238E27FC236}">
                  <a16:creationId xmlns:a16="http://schemas.microsoft.com/office/drawing/2014/main" id="{00000000-0008-0000-0F00-000046000000}"/>
                </a:ext>
              </a:extLst>
            </xdr:cNvPr>
            <xdr:cNvSpPr>
              <a:spLocks noChangeArrowheads="1"/>
            </xdr:cNvSpPr>
          </xdr:nvSpPr>
          <xdr:spPr bwMode="auto">
            <a:xfrm>
              <a:off x="125" y="180"/>
              <a:ext cx="31" cy="13"/>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1" name="Rectangle 95" descr="Dark vertical">
              <a:extLst>
                <a:ext uri="{FF2B5EF4-FFF2-40B4-BE49-F238E27FC236}">
                  <a16:creationId xmlns:a16="http://schemas.microsoft.com/office/drawing/2014/main" id="{00000000-0008-0000-0F00-000047000000}"/>
                </a:ext>
              </a:extLst>
            </xdr:cNvPr>
            <xdr:cNvSpPr>
              <a:spLocks noChangeArrowheads="1"/>
            </xdr:cNvSpPr>
          </xdr:nvSpPr>
          <xdr:spPr bwMode="auto">
            <a:xfrm>
              <a:off x="109" y="131"/>
              <a:ext cx="61" cy="48"/>
            </a:xfrm>
            <a:prstGeom prst="rect">
              <a:avLst/>
            </a:prstGeom>
            <a:pattFill prst="dkVert">
              <a:fgClr>
                <a:srgbClr xmlns:mc="http://schemas.openxmlformats.org/markup-compatibility/2006" xmlns:a14="http://schemas.microsoft.com/office/drawing/2010/main" val="000000" mc:Ignorable="a14" a14:legacySpreadsheetColorIndex="8"/>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2" name="Rectangle 96">
              <a:extLst>
                <a:ext uri="{FF2B5EF4-FFF2-40B4-BE49-F238E27FC236}">
                  <a16:creationId xmlns:a16="http://schemas.microsoft.com/office/drawing/2014/main" id="{00000000-0008-0000-0F00-000048000000}"/>
                </a:ext>
              </a:extLst>
            </xdr:cNvPr>
            <xdr:cNvSpPr>
              <a:spLocks noChangeArrowheads="1"/>
            </xdr:cNvSpPr>
          </xdr:nvSpPr>
          <xdr:spPr bwMode="auto">
            <a:xfrm>
              <a:off x="123" y="121"/>
              <a:ext cx="35" cy="9"/>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twoCellAnchor>
    <xdr:from>
      <xdr:col>10</xdr:col>
      <xdr:colOff>923925</xdr:colOff>
      <xdr:row>10</xdr:row>
      <xdr:rowOff>190500</xdr:rowOff>
    </xdr:from>
    <xdr:to>
      <xdr:col>10</xdr:col>
      <xdr:colOff>1114425</xdr:colOff>
      <xdr:row>11</xdr:row>
      <xdr:rowOff>209550</xdr:rowOff>
    </xdr:to>
    <xdr:grpSp>
      <xdr:nvGrpSpPr>
        <xdr:cNvPr id="73" name="Group 97">
          <a:extLst>
            <a:ext uri="{FF2B5EF4-FFF2-40B4-BE49-F238E27FC236}">
              <a16:creationId xmlns:a16="http://schemas.microsoft.com/office/drawing/2014/main" id="{00000000-0008-0000-0F00-000049000000}"/>
            </a:ext>
          </a:extLst>
        </xdr:cNvPr>
        <xdr:cNvGrpSpPr>
          <a:grpSpLocks/>
        </xdr:cNvGrpSpPr>
      </xdr:nvGrpSpPr>
      <xdr:grpSpPr bwMode="auto">
        <a:xfrm>
          <a:off x="8717107" y="2216727"/>
          <a:ext cx="190500" cy="244187"/>
          <a:chOff x="1176" y="147"/>
          <a:chExt cx="15" cy="22"/>
        </a:xfrm>
      </xdr:grpSpPr>
      <xdr:sp macro="" textlink="">
        <xdr:nvSpPr>
          <xdr:cNvPr id="74" name="Oval 98">
            <a:extLst>
              <a:ext uri="{FF2B5EF4-FFF2-40B4-BE49-F238E27FC236}">
                <a16:creationId xmlns:a16="http://schemas.microsoft.com/office/drawing/2014/main" id="{00000000-0008-0000-0F00-00004A000000}"/>
              </a:ext>
            </a:extLst>
          </xdr:cNvPr>
          <xdr:cNvSpPr>
            <a:spLocks noChangeArrowheads="1"/>
          </xdr:cNvSpPr>
        </xdr:nvSpPr>
        <xdr:spPr bwMode="auto">
          <a:xfrm>
            <a:off x="1176" y="147"/>
            <a:ext cx="15" cy="14"/>
          </a:xfrm>
          <a:prstGeom prst="ellipse">
            <a:avLst/>
          </a:prstGeom>
          <a:solidFill>
            <a:srgbClr val="FFFFFF"/>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5" name="Line 99">
            <a:extLst>
              <a:ext uri="{FF2B5EF4-FFF2-40B4-BE49-F238E27FC236}">
                <a16:creationId xmlns:a16="http://schemas.microsoft.com/office/drawing/2014/main" id="{00000000-0008-0000-0F00-00004B000000}"/>
              </a:ext>
            </a:extLst>
          </xdr:cNvPr>
          <xdr:cNvSpPr>
            <a:spLocks noChangeShapeType="1"/>
          </xdr:cNvSpPr>
        </xdr:nvSpPr>
        <xdr:spPr bwMode="auto">
          <a:xfrm>
            <a:off x="1178" y="150"/>
            <a:ext cx="6"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6" name="Rectangle 100">
            <a:extLst>
              <a:ext uri="{FF2B5EF4-FFF2-40B4-BE49-F238E27FC236}">
                <a16:creationId xmlns:a16="http://schemas.microsoft.com/office/drawing/2014/main" id="{00000000-0008-0000-0F00-00004C000000}"/>
              </a:ext>
            </a:extLst>
          </xdr:cNvPr>
          <xdr:cNvSpPr>
            <a:spLocks noChangeArrowheads="1"/>
          </xdr:cNvSpPr>
        </xdr:nvSpPr>
        <xdr:spPr bwMode="auto">
          <a:xfrm>
            <a:off x="1181" y="161"/>
            <a:ext cx="4" cy="8"/>
          </a:xfrm>
          <a:prstGeom prst="rect">
            <a:avLst/>
          </a:prstGeom>
          <a:gradFill rotWithShape="0">
            <a:gsLst>
              <a:gs pos="0">
                <a:srgbClr val="373737"/>
              </a:gs>
              <a:gs pos="50000">
                <a:srgbClr val="777777"/>
              </a:gs>
              <a:gs pos="100000">
                <a:srgbClr val="373737"/>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10</xdr:col>
      <xdr:colOff>314325</xdr:colOff>
      <xdr:row>25</xdr:row>
      <xdr:rowOff>200025</xdr:rowOff>
    </xdr:from>
    <xdr:to>
      <xdr:col>10</xdr:col>
      <xdr:colOff>352425</xdr:colOff>
      <xdr:row>62</xdr:row>
      <xdr:rowOff>76200</xdr:rowOff>
    </xdr:to>
    <xdr:sp macro="" textlink="">
      <xdr:nvSpPr>
        <xdr:cNvPr id="77" name="Rectangle 101" descr="Diagonal brick">
          <a:extLst>
            <a:ext uri="{FF2B5EF4-FFF2-40B4-BE49-F238E27FC236}">
              <a16:creationId xmlns:a16="http://schemas.microsoft.com/office/drawing/2014/main" id="{00000000-0008-0000-0F00-00004D000000}"/>
            </a:ext>
          </a:extLst>
        </xdr:cNvPr>
        <xdr:cNvSpPr>
          <a:spLocks noChangeArrowheads="1"/>
        </xdr:cNvSpPr>
      </xdr:nvSpPr>
      <xdr:spPr bwMode="auto">
        <a:xfrm>
          <a:off x="8105775" y="5686425"/>
          <a:ext cx="38100" cy="8334375"/>
        </a:xfrm>
        <a:prstGeom prst="rect">
          <a:avLst/>
        </a:prstGeom>
        <a:pattFill prst="diagBri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485775</xdr:colOff>
      <xdr:row>24</xdr:row>
      <xdr:rowOff>0</xdr:rowOff>
    </xdr:from>
    <xdr:to>
      <xdr:col>10</xdr:col>
      <xdr:colOff>723900</xdr:colOff>
      <xdr:row>24</xdr:row>
      <xdr:rowOff>0</xdr:rowOff>
    </xdr:to>
    <xdr:sp macro="" textlink="">
      <xdr:nvSpPr>
        <xdr:cNvPr id="78" name="Rectangle 855">
          <a:extLst>
            <a:ext uri="{FF2B5EF4-FFF2-40B4-BE49-F238E27FC236}">
              <a16:creationId xmlns:a16="http://schemas.microsoft.com/office/drawing/2014/main" id="{00000000-0008-0000-0F00-00004E000000}"/>
            </a:ext>
          </a:extLst>
        </xdr:cNvPr>
        <xdr:cNvSpPr>
          <a:spLocks noChangeArrowheads="1"/>
        </xdr:cNvSpPr>
      </xdr:nvSpPr>
      <xdr:spPr bwMode="auto">
        <a:xfrm>
          <a:off x="8277225" y="5257800"/>
          <a:ext cx="238125" cy="0"/>
        </a:xfrm>
        <a:prstGeom prst="rect">
          <a:avLst/>
        </a:prstGeom>
        <a:solidFill>
          <a:srgbClr xmlns:mc="http://schemas.openxmlformats.org/markup-compatibility/2006" xmlns:a14="http://schemas.microsoft.com/office/drawing/2010/main" val="CC99FF" mc:Ignorable="a14" a14:legacySpreadsheetColorIndex="4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485775</xdr:colOff>
      <xdr:row>24</xdr:row>
      <xdr:rowOff>0</xdr:rowOff>
    </xdr:from>
    <xdr:to>
      <xdr:col>10</xdr:col>
      <xdr:colOff>723900</xdr:colOff>
      <xdr:row>24</xdr:row>
      <xdr:rowOff>0</xdr:rowOff>
    </xdr:to>
    <xdr:sp macro="" textlink="">
      <xdr:nvSpPr>
        <xdr:cNvPr id="79" name="Rectangle 863">
          <a:extLst>
            <a:ext uri="{FF2B5EF4-FFF2-40B4-BE49-F238E27FC236}">
              <a16:creationId xmlns:a16="http://schemas.microsoft.com/office/drawing/2014/main" id="{00000000-0008-0000-0F00-00004F000000}"/>
            </a:ext>
          </a:extLst>
        </xdr:cNvPr>
        <xdr:cNvSpPr>
          <a:spLocks noChangeArrowheads="1"/>
        </xdr:cNvSpPr>
      </xdr:nvSpPr>
      <xdr:spPr bwMode="auto">
        <a:xfrm>
          <a:off x="8277225" y="5257800"/>
          <a:ext cx="238125" cy="0"/>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1057275</xdr:colOff>
      <xdr:row>75</xdr:row>
      <xdr:rowOff>123825</xdr:rowOff>
    </xdr:from>
    <xdr:to>
      <xdr:col>11</xdr:col>
      <xdr:colOff>276225</xdr:colOff>
      <xdr:row>75</xdr:row>
      <xdr:rowOff>123825</xdr:rowOff>
    </xdr:to>
    <xdr:sp macro="" textlink="">
      <xdr:nvSpPr>
        <xdr:cNvPr id="80" name="Line 954">
          <a:extLst>
            <a:ext uri="{FF2B5EF4-FFF2-40B4-BE49-F238E27FC236}">
              <a16:creationId xmlns:a16="http://schemas.microsoft.com/office/drawing/2014/main" id="{00000000-0008-0000-0F00-000050000000}"/>
            </a:ext>
          </a:extLst>
        </xdr:cNvPr>
        <xdr:cNvSpPr>
          <a:spLocks noChangeShapeType="1"/>
        </xdr:cNvSpPr>
      </xdr:nvSpPr>
      <xdr:spPr bwMode="auto">
        <a:xfrm>
          <a:off x="8848725" y="1704022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1019175</xdr:colOff>
      <xdr:row>81</xdr:row>
      <xdr:rowOff>180975</xdr:rowOff>
    </xdr:from>
    <xdr:to>
      <xdr:col>11</xdr:col>
      <xdr:colOff>304800</xdr:colOff>
      <xdr:row>81</xdr:row>
      <xdr:rowOff>180975</xdr:rowOff>
    </xdr:to>
    <xdr:sp macro="" textlink="">
      <xdr:nvSpPr>
        <xdr:cNvPr id="81" name="Line 955">
          <a:extLst>
            <a:ext uri="{FF2B5EF4-FFF2-40B4-BE49-F238E27FC236}">
              <a16:creationId xmlns:a16="http://schemas.microsoft.com/office/drawing/2014/main" id="{00000000-0008-0000-0F00-000051000000}"/>
            </a:ext>
          </a:extLst>
        </xdr:cNvPr>
        <xdr:cNvSpPr>
          <a:spLocks noChangeShapeType="1"/>
        </xdr:cNvSpPr>
      </xdr:nvSpPr>
      <xdr:spPr bwMode="auto">
        <a:xfrm>
          <a:off x="8810625" y="18468975"/>
          <a:ext cx="542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1028700</xdr:colOff>
      <xdr:row>43</xdr:row>
      <xdr:rowOff>0</xdr:rowOff>
    </xdr:from>
    <xdr:to>
      <xdr:col>11</xdr:col>
      <xdr:colOff>304800</xdr:colOff>
      <xdr:row>43</xdr:row>
      <xdr:rowOff>0</xdr:rowOff>
    </xdr:to>
    <xdr:sp macro="" textlink="">
      <xdr:nvSpPr>
        <xdr:cNvPr id="82" name="Line 956">
          <a:extLst>
            <a:ext uri="{FF2B5EF4-FFF2-40B4-BE49-F238E27FC236}">
              <a16:creationId xmlns:a16="http://schemas.microsoft.com/office/drawing/2014/main" id="{00000000-0008-0000-0F00-000052000000}"/>
            </a:ext>
          </a:extLst>
        </xdr:cNvPr>
        <xdr:cNvSpPr>
          <a:spLocks noChangeShapeType="1"/>
        </xdr:cNvSpPr>
      </xdr:nvSpPr>
      <xdr:spPr bwMode="auto">
        <a:xfrm>
          <a:off x="8820150" y="9601200"/>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1047750</xdr:colOff>
      <xdr:row>47</xdr:row>
      <xdr:rowOff>114300</xdr:rowOff>
    </xdr:from>
    <xdr:to>
      <xdr:col>11</xdr:col>
      <xdr:colOff>295275</xdr:colOff>
      <xdr:row>47</xdr:row>
      <xdr:rowOff>114300</xdr:rowOff>
    </xdr:to>
    <xdr:sp macro="" textlink="">
      <xdr:nvSpPr>
        <xdr:cNvPr id="83" name="Line 957">
          <a:extLst>
            <a:ext uri="{FF2B5EF4-FFF2-40B4-BE49-F238E27FC236}">
              <a16:creationId xmlns:a16="http://schemas.microsoft.com/office/drawing/2014/main" id="{00000000-0008-0000-0F00-000053000000}"/>
            </a:ext>
          </a:extLst>
        </xdr:cNvPr>
        <xdr:cNvSpPr>
          <a:spLocks noChangeShapeType="1"/>
        </xdr:cNvSpPr>
      </xdr:nvSpPr>
      <xdr:spPr bwMode="auto">
        <a:xfrm>
          <a:off x="8839200" y="10629900"/>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428625</xdr:colOff>
      <xdr:row>61</xdr:row>
      <xdr:rowOff>190500</xdr:rowOff>
    </xdr:from>
    <xdr:to>
      <xdr:col>10</xdr:col>
      <xdr:colOff>466725</xdr:colOff>
      <xdr:row>62</xdr:row>
      <xdr:rowOff>190500</xdr:rowOff>
    </xdr:to>
    <xdr:sp macro="" textlink="">
      <xdr:nvSpPr>
        <xdr:cNvPr id="84" name="Rectangle 961">
          <a:extLst>
            <a:ext uri="{FF2B5EF4-FFF2-40B4-BE49-F238E27FC236}">
              <a16:creationId xmlns:a16="http://schemas.microsoft.com/office/drawing/2014/main" id="{00000000-0008-0000-0F00-000054000000}"/>
            </a:ext>
          </a:extLst>
        </xdr:cNvPr>
        <xdr:cNvSpPr>
          <a:spLocks noChangeArrowheads="1"/>
        </xdr:cNvSpPr>
      </xdr:nvSpPr>
      <xdr:spPr bwMode="auto">
        <a:xfrm rot="19911504" flipH="1">
          <a:off x="8220075" y="13906500"/>
          <a:ext cx="38100" cy="228600"/>
        </a:xfrm>
        <a:prstGeom prst="rect">
          <a:avLst/>
        </a:prstGeom>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400050</xdr:colOff>
      <xdr:row>60</xdr:row>
      <xdr:rowOff>28575</xdr:rowOff>
    </xdr:from>
    <xdr:to>
      <xdr:col>10</xdr:col>
      <xdr:colOff>838200</xdr:colOff>
      <xdr:row>67</xdr:row>
      <xdr:rowOff>28575</xdr:rowOff>
    </xdr:to>
    <xdr:sp macro="" textlink="">
      <xdr:nvSpPr>
        <xdr:cNvPr id="85" name="Rectangle 962">
          <a:extLst>
            <a:ext uri="{FF2B5EF4-FFF2-40B4-BE49-F238E27FC236}">
              <a16:creationId xmlns:a16="http://schemas.microsoft.com/office/drawing/2014/main" id="{00000000-0008-0000-0F00-000055000000}"/>
            </a:ext>
          </a:extLst>
        </xdr:cNvPr>
        <xdr:cNvSpPr>
          <a:spLocks noChangeArrowheads="1"/>
        </xdr:cNvSpPr>
      </xdr:nvSpPr>
      <xdr:spPr bwMode="auto">
        <a:xfrm>
          <a:off x="8191500" y="13515975"/>
          <a:ext cx="438150" cy="1600200"/>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361950</xdr:colOff>
      <xdr:row>60</xdr:row>
      <xdr:rowOff>85725</xdr:rowOff>
    </xdr:from>
    <xdr:to>
      <xdr:col>10</xdr:col>
      <xdr:colOff>428625</xdr:colOff>
      <xdr:row>62</xdr:row>
      <xdr:rowOff>171450</xdr:rowOff>
    </xdr:to>
    <xdr:sp macro="" textlink="">
      <xdr:nvSpPr>
        <xdr:cNvPr id="86" name="AutoShape 963">
          <a:extLst>
            <a:ext uri="{FF2B5EF4-FFF2-40B4-BE49-F238E27FC236}">
              <a16:creationId xmlns:a16="http://schemas.microsoft.com/office/drawing/2014/main" id="{00000000-0008-0000-0F00-000056000000}"/>
            </a:ext>
          </a:extLst>
        </xdr:cNvPr>
        <xdr:cNvSpPr>
          <a:spLocks noChangeArrowheads="1"/>
        </xdr:cNvSpPr>
      </xdr:nvSpPr>
      <xdr:spPr bwMode="auto">
        <a:xfrm>
          <a:off x="8153400" y="13573125"/>
          <a:ext cx="66675" cy="542925"/>
        </a:xfrm>
        <a:prstGeom prst="rtTriangle">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409575</xdr:colOff>
      <xdr:row>43</xdr:row>
      <xdr:rowOff>0</xdr:rowOff>
    </xdr:from>
    <xdr:to>
      <xdr:col>10</xdr:col>
      <xdr:colOff>800100</xdr:colOff>
      <xdr:row>43</xdr:row>
      <xdr:rowOff>123825</xdr:rowOff>
    </xdr:to>
    <xdr:sp macro="" textlink="">
      <xdr:nvSpPr>
        <xdr:cNvPr id="87" name="Rectangle 967">
          <a:extLst>
            <a:ext uri="{FF2B5EF4-FFF2-40B4-BE49-F238E27FC236}">
              <a16:creationId xmlns:a16="http://schemas.microsoft.com/office/drawing/2014/main" id="{00000000-0008-0000-0F00-000057000000}"/>
            </a:ext>
          </a:extLst>
        </xdr:cNvPr>
        <xdr:cNvSpPr>
          <a:spLocks noChangeArrowheads="1"/>
        </xdr:cNvSpPr>
      </xdr:nvSpPr>
      <xdr:spPr bwMode="auto">
        <a:xfrm rot="10800000" flipH="1" flipV="1">
          <a:off x="8201025" y="9601200"/>
          <a:ext cx="390525" cy="123825"/>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447675</xdr:colOff>
      <xdr:row>58</xdr:row>
      <xdr:rowOff>66675</xdr:rowOff>
    </xdr:from>
    <xdr:to>
      <xdr:col>10</xdr:col>
      <xdr:colOff>762000</xdr:colOff>
      <xdr:row>60</xdr:row>
      <xdr:rowOff>28575</xdr:rowOff>
    </xdr:to>
    <xdr:sp macro="" textlink="">
      <xdr:nvSpPr>
        <xdr:cNvPr id="88" name="Rectangle 983">
          <a:extLst>
            <a:ext uri="{FF2B5EF4-FFF2-40B4-BE49-F238E27FC236}">
              <a16:creationId xmlns:a16="http://schemas.microsoft.com/office/drawing/2014/main" id="{00000000-0008-0000-0F00-000058000000}"/>
            </a:ext>
          </a:extLst>
        </xdr:cNvPr>
        <xdr:cNvSpPr>
          <a:spLocks noChangeArrowheads="1"/>
        </xdr:cNvSpPr>
      </xdr:nvSpPr>
      <xdr:spPr bwMode="auto">
        <a:xfrm rot="10800000" flipH="1" flipV="1">
          <a:off x="8239125" y="13096875"/>
          <a:ext cx="314325" cy="419100"/>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504825</xdr:colOff>
      <xdr:row>43</xdr:row>
      <xdr:rowOff>0</xdr:rowOff>
    </xdr:from>
    <xdr:to>
      <xdr:col>10</xdr:col>
      <xdr:colOff>752475</xdr:colOff>
      <xdr:row>43</xdr:row>
      <xdr:rowOff>0</xdr:rowOff>
    </xdr:to>
    <xdr:sp macro="" textlink="">
      <xdr:nvSpPr>
        <xdr:cNvPr id="89" name="Rectangle 987">
          <a:extLst>
            <a:ext uri="{FF2B5EF4-FFF2-40B4-BE49-F238E27FC236}">
              <a16:creationId xmlns:a16="http://schemas.microsoft.com/office/drawing/2014/main" id="{00000000-0008-0000-0F00-000059000000}"/>
            </a:ext>
          </a:extLst>
        </xdr:cNvPr>
        <xdr:cNvSpPr>
          <a:spLocks noChangeArrowheads="1"/>
        </xdr:cNvSpPr>
      </xdr:nvSpPr>
      <xdr:spPr bwMode="auto">
        <a:xfrm rot="10800000" flipH="1">
          <a:off x="8296275" y="9601200"/>
          <a:ext cx="247650" cy="0"/>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409575</xdr:colOff>
      <xdr:row>34</xdr:row>
      <xdr:rowOff>95250</xdr:rowOff>
    </xdr:from>
    <xdr:to>
      <xdr:col>10</xdr:col>
      <xdr:colOff>800100</xdr:colOff>
      <xdr:row>34</xdr:row>
      <xdr:rowOff>219075</xdr:rowOff>
    </xdr:to>
    <xdr:grpSp>
      <xdr:nvGrpSpPr>
        <xdr:cNvPr id="90" name="Group 1108">
          <a:extLst>
            <a:ext uri="{FF2B5EF4-FFF2-40B4-BE49-F238E27FC236}">
              <a16:creationId xmlns:a16="http://schemas.microsoft.com/office/drawing/2014/main" id="{00000000-0008-0000-0F00-00005A000000}"/>
            </a:ext>
          </a:extLst>
        </xdr:cNvPr>
        <xdr:cNvGrpSpPr>
          <a:grpSpLocks/>
        </xdr:cNvGrpSpPr>
      </xdr:nvGrpSpPr>
      <xdr:grpSpPr bwMode="auto">
        <a:xfrm>
          <a:off x="8202757" y="7524750"/>
          <a:ext cx="390525" cy="123825"/>
          <a:chOff x="754" y="806"/>
          <a:chExt cx="41" cy="43"/>
        </a:xfrm>
      </xdr:grpSpPr>
      <xdr:sp macro="" textlink="">
        <xdr:nvSpPr>
          <xdr:cNvPr id="91" name="Rectangle 991">
            <a:extLst>
              <a:ext uri="{FF2B5EF4-FFF2-40B4-BE49-F238E27FC236}">
                <a16:creationId xmlns:a16="http://schemas.microsoft.com/office/drawing/2014/main" id="{00000000-0008-0000-0F00-00005B000000}"/>
              </a:ext>
            </a:extLst>
          </xdr:cNvPr>
          <xdr:cNvSpPr>
            <a:spLocks noChangeArrowheads="1"/>
          </xdr:cNvSpPr>
        </xdr:nvSpPr>
        <xdr:spPr bwMode="auto">
          <a:xfrm rot="10800000" flipH="1">
            <a:off x="759" y="806"/>
            <a:ext cx="30" cy="33"/>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2" name="Rectangle 992">
            <a:extLst>
              <a:ext uri="{FF2B5EF4-FFF2-40B4-BE49-F238E27FC236}">
                <a16:creationId xmlns:a16="http://schemas.microsoft.com/office/drawing/2014/main" id="{00000000-0008-0000-0F00-00005C000000}"/>
              </a:ext>
            </a:extLst>
          </xdr:cNvPr>
          <xdr:cNvSpPr>
            <a:spLocks noChangeArrowheads="1"/>
          </xdr:cNvSpPr>
        </xdr:nvSpPr>
        <xdr:spPr bwMode="auto">
          <a:xfrm rot="10800000" flipH="1">
            <a:off x="754" y="837"/>
            <a:ext cx="41" cy="12"/>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10</xdr:col>
      <xdr:colOff>409575</xdr:colOff>
      <xdr:row>26</xdr:row>
      <xdr:rowOff>142875</xdr:rowOff>
    </xdr:from>
    <xdr:to>
      <xdr:col>10</xdr:col>
      <xdr:colOff>800100</xdr:colOff>
      <xdr:row>34</xdr:row>
      <xdr:rowOff>104775</xdr:rowOff>
    </xdr:to>
    <xdr:sp macro="" textlink="">
      <xdr:nvSpPr>
        <xdr:cNvPr id="93" name="Rectangle 993">
          <a:extLst>
            <a:ext uri="{FF2B5EF4-FFF2-40B4-BE49-F238E27FC236}">
              <a16:creationId xmlns:a16="http://schemas.microsoft.com/office/drawing/2014/main" id="{00000000-0008-0000-0F00-00005D000000}"/>
            </a:ext>
          </a:extLst>
        </xdr:cNvPr>
        <xdr:cNvSpPr>
          <a:spLocks noChangeArrowheads="1"/>
        </xdr:cNvSpPr>
      </xdr:nvSpPr>
      <xdr:spPr bwMode="auto">
        <a:xfrm>
          <a:off x="8201025" y="5857875"/>
          <a:ext cx="390525" cy="1790700"/>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1028700</xdr:colOff>
      <xdr:row>26</xdr:row>
      <xdr:rowOff>142875</xdr:rowOff>
    </xdr:from>
    <xdr:to>
      <xdr:col>11</xdr:col>
      <xdr:colOff>285750</xdr:colOff>
      <xdr:row>26</xdr:row>
      <xdr:rowOff>142875</xdr:rowOff>
    </xdr:to>
    <xdr:sp macro="" textlink="">
      <xdr:nvSpPr>
        <xdr:cNvPr id="94" name="Line 994">
          <a:extLst>
            <a:ext uri="{FF2B5EF4-FFF2-40B4-BE49-F238E27FC236}">
              <a16:creationId xmlns:a16="http://schemas.microsoft.com/office/drawing/2014/main" id="{00000000-0008-0000-0F00-00005E000000}"/>
            </a:ext>
          </a:extLst>
        </xdr:cNvPr>
        <xdr:cNvSpPr>
          <a:spLocks noChangeShapeType="1"/>
        </xdr:cNvSpPr>
      </xdr:nvSpPr>
      <xdr:spPr bwMode="auto">
        <a:xfrm>
          <a:off x="8820150" y="58578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1019175</xdr:colOff>
      <xdr:row>43</xdr:row>
      <xdr:rowOff>0</xdr:rowOff>
    </xdr:from>
    <xdr:to>
      <xdr:col>11</xdr:col>
      <xdr:colOff>266700</xdr:colOff>
      <xdr:row>43</xdr:row>
      <xdr:rowOff>0</xdr:rowOff>
    </xdr:to>
    <xdr:sp macro="" textlink="">
      <xdr:nvSpPr>
        <xdr:cNvPr id="95" name="Line 996">
          <a:extLst>
            <a:ext uri="{FF2B5EF4-FFF2-40B4-BE49-F238E27FC236}">
              <a16:creationId xmlns:a16="http://schemas.microsoft.com/office/drawing/2014/main" id="{00000000-0008-0000-0F00-00005F000000}"/>
            </a:ext>
          </a:extLst>
        </xdr:cNvPr>
        <xdr:cNvSpPr>
          <a:spLocks noChangeShapeType="1"/>
        </xdr:cNvSpPr>
      </xdr:nvSpPr>
      <xdr:spPr bwMode="auto">
        <a:xfrm>
          <a:off x="8810625" y="9601200"/>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409575</xdr:colOff>
      <xdr:row>43</xdr:row>
      <xdr:rowOff>0</xdr:rowOff>
    </xdr:from>
    <xdr:to>
      <xdr:col>10</xdr:col>
      <xdr:colOff>800100</xdr:colOff>
      <xdr:row>43</xdr:row>
      <xdr:rowOff>28575</xdr:rowOff>
    </xdr:to>
    <xdr:sp macro="" textlink="">
      <xdr:nvSpPr>
        <xdr:cNvPr id="96" name="Rectangle 989">
          <a:extLst>
            <a:ext uri="{FF2B5EF4-FFF2-40B4-BE49-F238E27FC236}">
              <a16:creationId xmlns:a16="http://schemas.microsoft.com/office/drawing/2014/main" id="{00000000-0008-0000-0F00-000060000000}"/>
            </a:ext>
          </a:extLst>
        </xdr:cNvPr>
        <xdr:cNvSpPr>
          <a:spLocks noChangeArrowheads="1"/>
        </xdr:cNvSpPr>
      </xdr:nvSpPr>
      <xdr:spPr bwMode="auto">
        <a:xfrm flipV="1">
          <a:off x="8201025" y="9601200"/>
          <a:ext cx="390525" cy="28575"/>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552450</xdr:colOff>
      <xdr:row>9</xdr:row>
      <xdr:rowOff>9525</xdr:rowOff>
    </xdr:from>
    <xdr:to>
      <xdr:col>13</xdr:col>
      <xdr:colOff>1095375</xdr:colOff>
      <xdr:row>15</xdr:row>
      <xdr:rowOff>28575</xdr:rowOff>
    </xdr:to>
    <xdr:sp macro="" textlink="">
      <xdr:nvSpPr>
        <xdr:cNvPr id="97" name="Rectangle 3">
          <a:extLst>
            <a:ext uri="{FF2B5EF4-FFF2-40B4-BE49-F238E27FC236}">
              <a16:creationId xmlns:a16="http://schemas.microsoft.com/office/drawing/2014/main" id="{00000000-0008-0000-0F00-000061000000}"/>
            </a:ext>
          </a:extLst>
        </xdr:cNvPr>
        <xdr:cNvSpPr>
          <a:spLocks noChangeArrowheads="1"/>
        </xdr:cNvSpPr>
      </xdr:nvSpPr>
      <xdr:spPr bwMode="auto">
        <a:xfrm>
          <a:off x="13563600" y="1838325"/>
          <a:ext cx="542925" cy="139065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666750</xdr:colOff>
      <xdr:row>9</xdr:row>
      <xdr:rowOff>104775</xdr:rowOff>
    </xdr:from>
    <xdr:to>
      <xdr:col>13</xdr:col>
      <xdr:colOff>971550</xdr:colOff>
      <xdr:row>11</xdr:row>
      <xdr:rowOff>28575</xdr:rowOff>
    </xdr:to>
    <xdr:sp macro="" textlink="">
      <xdr:nvSpPr>
        <xdr:cNvPr id="98" name="Rectangle 4">
          <a:extLst>
            <a:ext uri="{FF2B5EF4-FFF2-40B4-BE49-F238E27FC236}">
              <a16:creationId xmlns:a16="http://schemas.microsoft.com/office/drawing/2014/main" id="{00000000-0008-0000-0F00-000062000000}"/>
            </a:ext>
          </a:extLst>
        </xdr:cNvPr>
        <xdr:cNvSpPr>
          <a:spLocks noChangeArrowheads="1"/>
        </xdr:cNvSpPr>
      </xdr:nvSpPr>
      <xdr:spPr bwMode="auto">
        <a:xfrm>
          <a:off x="13677900" y="1933575"/>
          <a:ext cx="304800"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714375</xdr:colOff>
      <xdr:row>9</xdr:row>
      <xdr:rowOff>152400</xdr:rowOff>
    </xdr:from>
    <xdr:to>
      <xdr:col>13</xdr:col>
      <xdr:colOff>800100</xdr:colOff>
      <xdr:row>10</xdr:row>
      <xdr:rowOff>9525</xdr:rowOff>
    </xdr:to>
    <xdr:sp macro="" textlink="">
      <xdr:nvSpPr>
        <xdr:cNvPr id="99" name="Rectangle 5">
          <a:extLst>
            <a:ext uri="{FF2B5EF4-FFF2-40B4-BE49-F238E27FC236}">
              <a16:creationId xmlns:a16="http://schemas.microsoft.com/office/drawing/2014/main" id="{00000000-0008-0000-0F00-000063000000}"/>
            </a:ext>
          </a:extLst>
        </xdr:cNvPr>
        <xdr:cNvSpPr>
          <a:spLocks noChangeArrowheads="1"/>
        </xdr:cNvSpPr>
      </xdr:nvSpPr>
      <xdr:spPr bwMode="auto">
        <a:xfrm>
          <a:off x="13725525" y="1981200"/>
          <a:ext cx="85725" cy="85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800100</xdr:colOff>
      <xdr:row>10</xdr:row>
      <xdr:rowOff>104775</xdr:rowOff>
    </xdr:from>
    <xdr:to>
      <xdr:col>13</xdr:col>
      <xdr:colOff>914400</xdr:colOff>
      <xdr:row>11</xdr:row>
      <xdr:rowOff>9525</xdr:rowOff>
    </xdr:to>
    <xdr:sp macro="" textlink="">
      <xdr:nvSpPr>
        <xdr:cNvPr id="100" name="Oval 6">
          <a:extLst>
            <a:ext uri="{FF2B5EF4-FFF2-40B4-BE49-F238E27FC236}">
              <a16:creationId xmlns:a16="http://schemas.microsoft.com/office/drawing/2014/main" id="{00000000-0008-0000-0F00-000064000000}"/>
            </a:ext>
          </a:extLst>
        </xdr:cNvPr>
        <xdr:cNvSpPr>
          <a:spLocks noChangeArrowheads="1"/>
        </xdr:cNvSpPr>
      </xdr:nvSpPr>
      <xdr:spPr bwMode="auto">
        <a:xfrm>
          <a:off x="13811250" y="2162175"/>
          <a:ext cx="114300" cy="1333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oneCellAnchor>
    <xdr:from>
      <xdr:col>13</xdr:col>
      <xdr:colOff>1011215</xdr:colOff>
      <xdr:row>13</xdr:row>
      <xdr:rowOff>102809</xdr:rowOff>
    </xdr:from>
    <xdr:ext cx="397365" cy="157736"/>
    <xdr:sp macro="" textlink="">
      <xdr:nvSpPr>
        <xdr:cNvPr id="101" name="Text Box 7">
          <a:extLst>
            <a:ext uri="{FF2B5EF4-FFF2-40B4-BE49-F238E27FC236}">
              <a16:creationId xmlns:a16="http://schemas.microsoft.com/office/drawing/2014/main" id="{00000000-0008-0000-0F00-000065000000}"/>
            </a:ext>
          </a:extLst>
        </xdr:cNvPr>
        <xdr:cNvSpPr txBox="1">
          <a:spLocks noChangeArrowheads="1"/>
        </xdr:cNvSpPr>
      </xdr:nvSpPr>
      <xdr:spPr bwMode="auto">
        <a:xfrm>
          <a:off x="14022365" y="2846009"/>
          <a:ext cx="397365" cy="15773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9144" bIns="18288" anchor="ctr" upright="1">
          <a:spAutoFit/>
        </a:bodyPr>
        <a:lstStyle/>
        <a:p>
          <a:pPr algn="ctr" rtl="0">
            <a:defRPr sz="1000"/>
          </a:pPr>
          <a:r>
            <a:rPr lang="en-US" sz="500" b="0" i="0" u="none" strike="noStrike" baseline="0">
              <a:solidFill>
                <a:srgbClr val="FF0000"/>
              </a:solidFill>
              <a:latin typeface="Tahoma"/>
              <a:ea typeface="Tahoma"/>
              <a:cs typeface="Tahoma"/>
            </a:rPr>
            <a:t>POWERLIFT</a:t>
          </a:r>
          <a:endParaRPr lang="en-US"/>
        </a:p>
      </xdr:txBody>
    </xdr:sp>
    <xdr:clientData/>
  </xdr:oneCellAnchor>
  <xdr:twoCellAnchor>
    <xdr:from>
      <xdr:col>13</xdr:col>
      <xdr:colOff>504825</xdr:colOff>
      <xdr:row>15</xdr:row>
      <xdr:rowOff>9525</xdr:rowOff>
    </xdr:from>
    <xdr:to>
      <xdr:col>13</xdr:col>
      <xdr:colOff>1133475</xdr:colOff>
      <xdr:row>15</xdr:row>
      <xdr:rowOff>219075</xdr:rowOff>
    </xdr:to>
    <xdr:sp macro="" textlink="">
      <xdr:nvSpPr>
        <xdr:cNvPr id="102" name="Rectangle 8">
          <a:extLst>
            <a:ext uri="{FF2B5EF4-FFF2-40B4-BE49-F238E27FC236}">
              <a16:creationId xmlns:a16="http://schemas.microsoft.com/office/drawing/2014/main" id="{00000000-0008-0000-0F00-000066000000}"/>
            </a:ext>
          </a:extLst>
        </xdr:cNvPr>
        <xdr:cNvSpPr>
          <a:spLocks noChangeArrowheads="1"/>
        </xdr:cNvSpPr>
      </xdr:nvSpPr>
      <xdr:spPr bwMode="auto">
        <a:xfrm>
          <a:off x="13515975" y="3209925"/>
          <a:ext cx="628650" cy="20955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390525</xdr:colOff>
      <xdr:row>47</xdr:row>
      <xdr:rowOff>28575</xdr:rowOff>
    </xdr:from>
    <xdr:to>
      <xdr:col>10</xdr:col>
      <xdr:colOff>819150</xdr:colOff>
      <xdr:row>59</xdr:row>
      <xdr:rowOff>9525</xdr:rowOff>
    </xdr:to>
    <xdr:grpSp>
      <xdr:nvGrpSpPr>
        <xdr:cNvPr id="103" name="Group 1194">
          <a:extLst>
            <a:ext uri="{FF2B5EF4-FFF2-40B4-BE49-F238E27FC236}">
              <a16:creationId xmlns:a16="http://schemas.microsoft.com/office/drawing/2014/main" id="{00000000-0008-0000-0F00-000067000000}"/>
            </a:ext>
          </a:extLst>
        </xdr:cNvPr>
        <xdr:cNvGrpSpPr>
          <a:grpSpLocks/>
        </xdr:cNvGrpSpPr>
      </xdr:nvGrpSpPr>
      <xdr:grpSpPr bwMode="auto">
        <a:xfrm>
          <a:off x="8183707" y="10384848"/>
          <a:ext cx="428625" cy="2682586"/>
          <a:chOff x="771" y="1107"/>
          <a:chExt cx="45" cy="286"/>
        </a:xfrm>
      </xdr:grpSpPr>
      <xdr:sp macro="" textlink="">
        <xdr:nvSpPr>
          <xdr:cNvPr id="104" name="Rectangle 981">
            <a:extLst>
              <a:ext uri="{FF2B5EF4-FFF2-40B4-BE49-F238E27FC236}">
                <a16:creationId xmlns:a16="http://schemas.microsoft.com/office/drawing/2014/main" id="{00000000-0008-0000-0F00-000068000000}"/>
              </a:ext>
            </a:extLst>
          </xdr:cNvPr>
          <xdr:cNvSpPr>
            <a:spLocks noChangeArrowheads="1"/>
          </xdr:cNvSpPr>
        </xdr:nvSpPr>
        <xdr:spPr bwMode="auto">
          <a:xfrm rot="10800000" flipH="1">
            <a:off x="780" y="1248"/>
            <a:ext cx="28" cy="28"/>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5" name="Rectangle 982">
            <a:extLst>
              <a:ext uri="{FF2B5EF4-FFF2-40B4-BE49-F238E27FC236}">
                <a16:creationId xmlns:a16="http://schemas.microsoft.com/office/drawing/2014/main" id="{00000000-0008-0000-0F00-000069000000}"/>
              </a:ext>
            </a:extLst>
          </xdr:cNvPr>
          <xdr:cNvSpPr>
            <a:spLocks noChangeArrowheads="1"/>
          </xdr:cNvSpPr>
        </xdr:nvSpPr>
        <xdr:spPr bwMode="auto">
          <a:xfrm rot="10800000" flipH="1">
            <a:off x="773" y="1277"/>
            <a:ext cx="42" cy="16"/>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6" name="Rectangle 984">
            <a:extLst>
              <a:ext uri="{FF2B5EF4-FFF2-40B4-BE49-F238E27FC236}">
                <a16:creationId xmlns:a16="http://schemas.microsoft.com/office/drawing/2014/main" id="{00000000-0008-0000-0F00-00006A000000}"/>
              </a:ext>
            </a:extLst>
          </xdr:cNvPr>
          <xdr:cNvSpPr>
            <a:spLocks noChangeArrowheads="1"/>
          </xdr:cNvSpPr>
        </xdr:nvSpPr>
        <xdr:spPr bwMode="auto">
          <a:xfrm rot="10800000" flipH="1" flipV="1">
            <a:off x="773" y="1296"/>
            <a:ext cx="42" cy="97"/>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7" name="Rectangle 985">
            <a:extLst>
              <a:ext uri="{FF2B5EF4-FFF2-40B4-BE49-F238E27FC236}">
                <a16:creationId xmlns:a16="http://schemas.microsoft.com/office/drawing/2014/main" id="{00000000-0008-0000-0F00-00006B000000}"/>
              </a:ext>
            </a:extLst>
          </xdr:cNvPr>
          <xdr:cNvSpPr>
            <a:spLocks noChangeArrowheads="1"/>
          </xdr:cNvSpPr>
        </xdr:nvSpPr>
        <xdr:spPr bwMode="auto">
          <a:xfrm>
            <a:off x="774" y="1118"/>
            <a:ext cx="40" cy="132"/>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8" name="Rectangle 1053">
            <a:extLst>
              <a:ext uri="{FF2B5EF4-FFF2-40B4-BE49-F238E27FC236}">
                <a16:creationId xmlns:a16="http://schemas.microsoft.com/office/drawing/2014/main" id="{00000000-0008-0000-0F00-00006C000000}"/>
              </a:ext>
            </a:extLst>
          </xdr:cNvPr>
          <xdr:cNvSpPr>
            <a:spLocks noChangeArrowheads="1"/>
          </xdr:cNvSpPr>
        </xdr:nvSpPr>
        <xdr:spPr bwMode="auto">
          <a:xfrm rot="10800000" flipH="1">
            <a:off x="771" y="1274"/>
            <a:ext cx="45" cy="3"/>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9" name="Rectangle 978">
            <a:extLst>
              <a:ext uri="{FF2B5EF4-FFF2-40B4-BE49-F238E27FC236}">
                <a16:creationId xmlns:a16="http://schemas.microsoft.com/office/drawing/2014/main" id="{00000000-0008-0000-0F00-00006D000000}"/>
              </a:ext>
            </a:extLst>
          </xdr:cNvPr>
          <xdr:cNvSpPr>
            <a:spLocks noChangeArrowheads="1"/>
          </xdr:cNvSpPr>
        </xdr:nvSpPr>
        <xdr:spPr bwMode="auto">
          <a:xfrm rot="10800000" flipH="1">
            <a:off x="774" y="1107"/>
            <a:ext cx="40" cy="10"/>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9</xdr:col>
      <xdr:colOff>104775</xdr:colOff>
      <xdr:row>8</xdr:row>
      <xdr:rowOff>180975</xdr:rowOff>
    </xdr:from>
    <xdr:to>
      <xdr:col>11</xdr:col>
      <xdr:colOff>142875</xdr:colOff>
      <xdr:row>16</xdr:row>
      <xdr:rowOff>19050</xdr:rowOff>
    </xdr:to>
    <xdr:grpSp>
      <xdr:nvGrpSpPr>
        <xdr:cNvPr id="110" name="Group 20">
          <a:extLst>
            <a:ext uri="{FF2B5EF4-FFF2-40B4-BE49-F238E27FC236}">
              <a16:creationId xmlns:a16="http://schemas.microsoft.com/office/drawing/2014/main" id="{00000000-0008-0000-0F00-00006E000000}"/>
            </a:ext>
          </a:extLst>
        </xdr:cNvPr>
        <xdr:cNvGrpSpPr>
          <a:grpSpLocks/>
        </xdr:cNvGrpSpPr>
      </xdr:nvGrpSpPr>
      <xdr:grpSpPr bwMode="auto">
        <a:xfrm>
          <a:off x="7707457" y="1756930"/>
          <a:ext cx="1492827" cy="1639165"/>
          <a:chOff x="578" y="342"/>
          <a:chExt cx="129" cy="121"/>
        </a:xfrm>
      </xdr:grpSpPr>
      <xdr:sp macro="" textlink="">
        <xdr:nvSpPr>
          <xdr:cNvPr id="111" name="Rectangle 21">
            <a:extLst>
              <a:ext uri="{FF2B5EF4-FFF2-40B4-BE49-F238E27FC236}">
                <a16:creationId xmlns:a16="http://schemas.microsoft.com/office/drawing/2014/main" id="{00000000-0008-0000-0F00-00006F000000}"/>
              </a:ext>
            </a:extLst>
          </xdr:cNvPr>
          <xdr:cNvSpPr>
            <a:spLocks noChangeArrowheads="1"/>
          </xdr:cNvSpPr>
        </xdr:nvSpPr>
        <xdr:spPr bwMode="auto">
          <a:xfrm>
            <a:off x="623" y="345"/>
            <a:ext cx="33" cy="3"/>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12" name="Group 22">
            <a:extLst>
              <a:ext uri="{FF2B5EF4-FFF2-40B4-BE49-F238E27FC236}">
                <a16:creationId xmlns:a16="http://schemas.microsoft.com/office/drawing/2014/main" id="{00000000-0008-0000-0F00-000070000000}"/>
              </a:ext>
            </a:extLst>
          </xdr:cNvPr>
          <xdr:cNvGrpSpPr>
            <a:grpSpLocks/>
          </xdr:cNvGrpSpPr>
        </xdr:nvGrpSpPr>
        <xdr:grpSpPr bwMode="auto">
          <a:xfrm>
            <a:off x="625" y="342"/>
            <a:ext cx="4" cy="13"/>
            <a:chOff x="757" y="522"/>
            <a:chExt cx="12" cy="43"/>
          </a:xfrm>
        </xdr:grpSpPr>
        <xdr:sp macro="" textlink="">
          <xdr:nvSpPr>
            <xdr:cNvPr id="161" name="Rectangle 23">
              <a:extLst>
                <a:ext uri="{FF2B5EF4-FFF2-40B4-BE49-F238E27FC236}">
                  <a16:creationId xmlns:a16="http://schemas.microsoft.com/office/drawing/2014/main" id="{00000000-0008-0000-0F00-0000A1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2" name="Rectangle 24">
              <a:extLst>
                <a:ext uri="{FF2B5EF4-FFF2-40B4-BE49-F238E27FC236}">
                  <a16:creationId xmlns:a16="http://schemas.microsoft.com/office/drawing/2014/main" id="{00000000-0008-0000-0F00-0000A2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13" name="Group 25">
            <a:extLst>
              <a:ext uri="{FF2B5EF4-FFF2-40B4-BE49-F238E27FC236}">
                <a16:creationId xmlns:a16="http://schemas.microsoft.com/office/drawing/2014/main" id="{00000000-0008-0000-0F00-000071000000}"/>
              </a:ext>
            </a:extLst>
          </xdr:cNvPr>
          <xdr:cNvGrpSpPr>
            <a:grpSpLocks/>
          </xdr:cNvGrpSpPr>
        </xdr:nvGrpSpPr>
        <xdr:grpSpPr bwMode="auto">
          <a:xfrm>
            <a:off x="649" y="342"/>
            <a:ext cx="5" cy="13"/>
            <a:chOff x="757" y="522"/>
            <a:chExt cx="12" cy="43"/>
          </a:xfrm>
        </xdr:grpSpPr>
        <xdr:sp macro="" textlink="">
          <xdr:nvSpPr>
            <xdr:cNvPr id="159" name="Rectangle 26">
              <a:extLst>
                <a:ext uri="{FF2B5EF4-FFF2-40B4-BE49-F238E27FC236}">
                  <a16:creationId xmlns:a16="http://schemas.microsoft.com/office/drawing/2014/main" id="{00000000-0008-0000-0F00-00009F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0" name="Rectangle 27">
              <a:extLst>
                <a:ext uri="{FF2B5EF4-FFF2-40B4-BE49-F238E27FC236}">
                  <a16:creationId xmlns:a16="http://schemas.microsoft.com/office/drawing/2014/main" id="{00000000-0008-0000-0F00-0000A0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14" name="Group 28">
            <a:extLst>
              <a:ext uri="{FF2B5EF4-FFF2-40B4-BE49-F238E27FC236}">
                <a16:creationId xmlns:a16="http://schemas.microsoft.com/office/drawing/2014/main" id="{00000000-0008-0000-0F00-000072000000}"/>
              </a:ext>
            </a:extLst>
          </xdr:cNvPr>
          <xdr:cNvGrpSpPr>
            <a:grpSpLocks/>
          </xdr:cNvGrpSpPr>
        </xdr:nvGrpSpPr>
        <xdr:grpSpPr bwMode="auto">
          <a:xfrm>
            <a:off x="578" y="349"/>
            <a:ext cx="129" cy="114"/>
            <a:chOff x="578" y="349"/>
            <a:chExt cx="129" cy="114"/>
          </a:xfrm>
        </xdr:grpSpPr>
        <xdr:sp macro="" textlink="">
          <xdr:nvSpPr>
            <xdr:cNvPr id="115" name="Rectangle 29">
              <a:extLst>
                <a:ext uri="{FF2B5EF4-FFF2-40B4-BE49-F238E27FC236}">
                  <a16:creationId xmlns:a16="http://schemas.microsoft.com/office/drawing/2014/main" id="{00000000-0008-0000-0F00-000073000000}"/>
                </a:ext>
              </a:extLst>
            </xdr:cNvPr>
            <xdr:cNvSpPr>
              <a:spLocks noChangeArrowheads="1"/>
            </xdr:cNvSpPr>
          </xdr:nvSpPr>
          <xdr:spPr bwMode="auto">
            <a:xfrm rot="1774670">
              <a:off x="651" y="412"/>
              <a:ext cx="7" cy="3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6" name="Rectangle 30">
              <a:extLst>
                <a:ext uri="{FF2B5EF4-FFF2-40B4-BE49-F238E27FC236}">
                  <a16:creationId xmlns:a16="http://schemas.microsoft.com/office/drawing/2014/main" id="{00000000-0008-0000-0F00-000074000000}"/>
                </a:ext>
              </a:extLst>
            </xdr:cNvPr>
            <xdr:cNvSpPr>
              <a:spLocks noChangeArrowheads="1"/>
            </xdr:cNvSpPr>
          </xdr:nvSpPr>
          <xdr:spPr bwMode="auto">
            <a:xfrm>
              <a:off x="611" y="375"/>
              <a:ext cx="56"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7" name="Rectangle 31">
              <a:extLst>
                <a:ext uri="{FF2B5EF4-FFF2-40B4-BE49-F238E27FC236}">
                  <a16:creationId xmlns:a16="http://schemas.microsoft.com/office/drawing/2014/main" id="{00000000-0008-0000-0F00-000075000000}"/>
                </a:ext>
              </a:extLst>
            </xdr:cNvPr>
            <xdr:cNvSpPr>
              <a:spLocks noChangeArrowheads="1"/>
            </xdr:cNvSpPr>
          </xdr:nvSpPr>
          <xdr:spPr bwMode="auto">
            <a:xfrm>
              <a:off x="624" y="387"/>
              <a:ext cx="30" cy="3"/>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8" name="Rectangle 32">
              <a:extLst>
                <a:ext uri="{FF2B5EF4-FFF2-40B4-BE49-F238E27FC236}">
                  <a16:creationId xmlns:a16="http://schemas.microsoft.com/office/drawing/2014/main" id="{00000000-0008-0000-0F00-000076000000}"/>
                </a:ext>
              </a:extLst>
            </xdr:cNvPr>
            <xdr:cNvSpPr>
              <a:spLocks noChangeArrowheads="1"/>
            </xdr:cNvSpPr>
          </xdr:nvSpPr>
          <xdr:spPr bwMode="auto">
            <a:xfrm>
              <a:off x="620" y="391"/>
              <a:ext cx="37" cy="17"/>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9" name="Rectangle 33">
              <a:extLst>
                <a:ext uri="{FF2B5EF4-FFF2-40B4-BE49-F238E27FC236}">
                  <a16:creationId xmlns:a16="http://schemas.microsoft.com/office/drawing/2014/main" id="{00000000-0008-0000-0F00-000077000000}"/>
                </a:ext>
              </a:extLst>
            </xdr:cNvPr>
            <xdr:cNvSpPr>
              <a:spLocks noChangeArrowheads="1"/>
            </xdr:cNvSpPr>
          </xdr:nvSpPr>
          <xdr:spPr bwMode="auto">
            <a:xfrm>
              <a:off x="622" y="408"/>
              <a:ext cx="33" cy="1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0" name="Rectangle 34">
              <a:extLst>
                <a:ext uri="{FF2B5EF4-FFF2-40B4-BE49-F238E27FC236}">
                  <a16:creationId xmlns:a16="http://schemas.microsoft.com/office/drawing/2014/main" id="{00000000-0008-0000-0F00-000078000000}"/>
                </a:ext>
              </a:extLst>
            </xdr:cNvPr>
            <xdr:cNvSpPr>
              <a:spLocks noChangeArrowheads="1"/>
            </xdr:cNvSpPr>
          </xdr:nvSpPr>
          <xdr:spPr bwMode="auto">
            <a:xfrm>
              <a:off x="614" y="439"/>
              <a:ext cx="53" cy="16"/>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1" name="Rectangle 35">
              <a:extLst>
                <a:ext uri="{FF2B5EF4-FFF2-40B4-BE49-F238E27FC236}">
                  <a16:creationId xmlns:a16="http://schemas.microsoft.com/office/drawing/2014/main" id="{00000000-0008-0000-0F00-000079000000}"/>
                </a:ext>
              </a:extLst>
            </xdr:cNvPr>
            <xdr:cNvSpPr>
              <a:spLocks noChangeArrowheads="1"/>
            </xdr:cNvSpPr>
          </xdr:nvSpPr>
          <xdr:spPr bwMode="auto">
            <a:xfrm>
              <a:off x="601" y="426"/>
              <a:ext cx="80" cy="5"/>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2" name="Rectangle 36">
              <a:extLst>
                <a:ext uri="{FF2B5EF4-FFF2-40B4-BE49-F238E27FC236}">
                  <a16:creationId xmlns:a16="http://schemas.microsoft.com/office/drawing/2014/main" id="{00000000-0008-0000-0F00-00007A000000}"/>
                </a:ext>
              </a:extLst>
            </xdr:cNvPr>
            <xdr:cNvSpPr>
              <a:spLocks noChangeArrowheads="1"/>
            </xdr:cNvSpPr>
          </xdr:nvSpPr>
          <xdr:spPr bwMode="auto">
            <a:xfrm>
              <a:off x="601" y="431"/>
              <a:ext cx="80"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 name="Rectangle 37">
              <a:extLst>
                <a:ext uri="{FF2B5EF4-FFF2-40B4-BE49-F238E27FC236}">
                  <a16:creationId xmlns:a16="http://schemas.microsoft.com/office/drawing/2014/main" id="{00000000-0008-0000-0F00-00007B000000}"/>
                </a:ext>
              </a:extLst>
            </xdr:cNvPr>
            <xdr:cNvSpPr>
              <a:spLocks noChangeArrowheads="1"/>
            </xdr:cNvSpPr>
          </xdr:nvSpPr>
          <xdr:spPr bwMode="auto">
            <a:xfrm>
              <a:off x="611" y="383"/>
              <a:ext cx="56" cy="5"/>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4" name="Rectangle 38">
              <a:extLst>
                <a:ext uri="{FF2B5EF4-FFF2-40B4-BE49-F238E27FC236}">
                  <a16:creationId xmlns:a16="http://schemas.microsoft.com/office/drawing/2014/main" id="{00000000-0008-0000-0F00-00007C000000}"/>
                </a:ext>
              </a:extLst>
            </xdr:cNvPr>
            <xdr:cNvSpPr>
              <a:spLocks noChangeArrowheads="1"/>
            </xdr:cNvSpPr>
          </xdr:nvSpPr>
          <xdr:spPr bwMode="auto">
            <a:xfrm>
              <a:off x="631" y="353"/>
              <a:ext cx="16" cy="14"/>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5" name="Rectangle 39">
              <a:extLst>
                <a:ext uri="{FF2B5EF4-FFF2-40B4-BE49-F238E27FC236}">
                  <a16:creationId xmlns:a16="http://schemas.microsoft.com/office/drawing/2014/main" id="{00000000-0008-0000-0F00-00007D000000}"/>
                </a:ext>
              </a:extLst>
            </xdr:cNvPr>
            <xdr:cNvSpPr>
              <a:spLocks noChangeArrowheads="1"/>
            </xdr:cNvSpPr>
          </xdr:nvSpPr>
          <xdr:spPr bwMode="auto">
            <a:xfrm>
              <a:off x="623" y="367"/>
              <a:ext cx="3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6" name="Rectangle 40">
              <a:extLst>
                <a:ext uri="{FF2B5EF4-FFF2-40B4-BE49-F238E27FC236}">
                  <a16:creationId xmlns:a16="http://schemas.microsoft.com/office/drawing/2014/main" id="{00000000-0008-0000-0F00-00007E000000}"/>
                </a:ext>
              </a:extLst>
            </xdr:cNvPr>
            <xdr:cNvSpPr>
              <a:spLocks noChangeArrowheads="1"/>
            </xdr:cNvSpPr>
          </xdr:nvSpPr>
          <xdr:spPr bwMode="auto">
            <a:xfrm>
              <a:off x="623" y="349"/>
              <a:ext cx="33" cy="3"/>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27" name="Group 41">
              <a:extLst>
                <a:ext uri="{FF2B5EF4-FFF2-40B4-BE49-F238E27FC236}">
                  <a16:creationId xmlns:a16="http://schemas.microsoft.com/office/drawing/2014/main" id="{00000000-0008-0000-0F00-00007F000000}"/>
                </a:ext>
              </a:extLst>
            </xdr:cNvPr>
            <xdr:cNvGrpSpPr>
              <a:grpSpLocks/>
            </xdr:cNvGrpSpPr>
          </xdr:nvGrpSpPr>
          <xdr:grpSpPr bwMode="auto">
            <a:xfrm>
              <a:off x="672" y="423"/>
              <a:ext cx="5" cy="19"/>
              <a:chOff x="757" y="522"/>
              <a:chExt cx="12" cy="43"/>
            </a:xfrm>
          </xdr:grpSpPr>
          <xdr:sp macro="" textlink="">
            <xdr:nvSpPr>
              <xdr:cNvPr id="157" name="Rectangle 42">
                <a:extLst>
                  <a:ext uri="{FF2B5EF4-FFF2-40B4-BE49-F238E27FC236}">
                    <a16:creationId xmlns:a16="http://schemas.microsoft.com/office/drawing/2014/main" id="{00000000-0008-0000-0F00-00009D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8" name="Rectangle 43">
                <a:extLst>
                  <a:ext uri="{FF2B5EF4-FFF2-40B4-BE49-F238E27FC236}">
                    <a16:creationId xmlns:a16="http://schemas.microsoft.com/office/drawing/2014/main" id="{00000000-0008-0000-0F00-00009E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28" name="Group 44">
              <a:extLst>
                <a:ext uri="{FF2B5EF4-FFF2-40B4-BE49-F238E27FC236}">
                  <a16:creationId xmlns:a16="http://schemas.microsoft.com/office/drawing/2014/main" id="{00000000-0008-0000-0F00-000080000000}"/>
                </a:ext>
              </a:extLst>
            </xdr:cNvPr>
            <xdr:cNvGrpSpPr>
              <a:grpSpLocks/>
            </xdr:cNvGrpSpPr>
          </xdr:nvGrpSpPr>
          <xdr:grpSpPr bwMode="auto">
            <a:xfrm>
              <a:off x="604" y="423"/>
              <a:ext cx="4" cy="19"/>
              <a:chOff x="757" y="522"/>
              <a:chExt cx="12" cy="43"/>
            </a:xfrm>
          </xdr:grpSpPr>
          <xdr:sp macro="" textlink="">
            <xdr:nvSpPr>
              <xdr:cNvPr id="155" name="Rectangle 45">
                <a:extLst>
                  <a:ext uri="{FF2B5EF4-FFF2-40B4-BE49-F238E27FC236}">
                    <a16:creationId xmlns:a16="http://schemas.microsoft.com/office/drawing/2014/main" id="{00000000-0008-0000-0F00-00009B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6" name="Rectangle 46">
                <a:extLst>
                  <a:ext uri="{FF2B5EF4-FFF2-40B4-BE49-F238E27FC236}">
                    <a16:creationId xmlns:a16="http://schemas.microsoft.com/office/drawing/2014/main" id="{00000000-0008-0000-0F00-00009C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29" name="Group 47">
              <a:extLst>
                <a:ext uri="{FF2B5EF4-FFF2-40B4-BE49-F238E27FC236}">
                  <a16:creationId xmlns:a16="http://schemas.microsoft.com/office/drawing/2014/main" id="{00000000-0008-0000-0F00-000081000000}"/>
                </a:ext>
              </a:extLst>
            </xdr:cNvPr>
            <xdr:cNvGrpSpPr>
              <a:grpSpLocks/>
            </xdr:cNvGrpSpPr>
          </xdr:nvGrpSpPr>
          <xdr:grpSpPr bwMode="auto">
            <a:xfrm>
              <a:off x="658" y="387"/>
              <a:ext cx="49" cy="23"/>
              <a:chOff x="722" y="440"/>
              <a:chExt cx="102" cy="53"/>
            </a:xfrm>
          </xdr:grpSpPr>
          <xdr:sp macro="" textlink="">
            <xdr:nvSpPr>
              <xdr:cNvPr id="146" name="Rectangle 48">
                <a:extLst>
                  <a:ext uri="{FF2B5EF4-FFF2-40B4-BE49-F238E27FC236}">
                    <a16:creationId xmlns:a16="http://schemas.microsoft.com/office/drawing/2014/main" id="{00000000-0008-0000-0F00-000092000000}"/>
                  </a:ext>
                </a:extLst>
              </xdr:cNvPr>
              <xdr:cNvSpPr>
                <a:spLocks noChangeArrowheads="1"/>
              </xdr:cNvSpPr>
            </xdr:nvSpPr>
            <xdr:spPr bwMode="auto">
              <a:xfrm rot="5400000">
                <a:off x="747" y="431"/>
                <a:ext cx="22" cy="72"/>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7" name="Rectangle 49">
                <a:extLst>
                  <a:ext uri="{FF2B5EF4-FFF2-40B4-BE49-F238E27FC236}">
                    <a16:creationId xmlns:a16="http://schemas.microsoft.com/office/drawing/2014/main" id="{00000000-0008-0000-0F00-000093000000}"/>
                  </a:ext>
                </a:extLst>
              </xdr:cNvPr>
              <xdr:cNvSpPr>
                <a:spLocks noChangeArrowheads="1"/>
              </xdr:cNvSpPr>
            </xdr:nvSpPr>
            <xdr:spPr bwMode="auto">
              <a:xfrm rot="5400000">
                <a:off x="773" y="462"/>
                <a:ext cx="53" cy="10"/>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8" name="Rectangle 50">
                <a:extLst>
                  <a:ext uri="{FF2B5EF4-FFF2-40B4-BE49-F238E27FC236}">
                    <a16:creationId xmlns:a16="http://schemas.microsoft.com/office/drawing/2014/main" id="{00000000-0008-0000-0F00-000094000000}"/>
                  </a:ext>
                </a:extLst>
              </xdr:cNvPr>
              <xdr:cNvSpPr>
                <a:spLocks noChangeArrowheads="1"/>
              </xdr:cNvSpPr>
            </xdr:nvSpPr>
            <xdr:spPr bwMode="auto">
              <a:xfrm rot="5400000">
                <a:off x="784" y="462"/>
                <a:ext cx="53" cy="10"/>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49" name="Group 51">
                <a:extLst>
                  <a:ext uri="{FF2B5EF4-FFF2-40B4-BE49-F238E27FC236}">
                    <a16:creationId xmlns:a16="http://schemas.microsoft.com/office/drawing/2014/main" id="{00000000-0008-0000-0F00-000095000000}"/>
                  </a:ext>
                </a:extLst>
              </xdr:cNvPr>
              <xdr:cNvGrpSpPr>
                <a:grpSpLocks/>
              </xdr:cNvGrpSpPr>
            </xdr:nvGrpSpPr>
            <xdr:grpSpPr bwMode="auto">
              <a:xfrm rot="-5400000">
                <a:off x="802" y="430"/>
                <a:ext cx="9" cy="35"/>
                <a:chOff x="757" y="522"/>
                <a:chExt cx="12" cy="43"/>
              </a:xfrm>
            </xdr:grpSpPr>
            <xdr:sp macro="" textlink="">
              <xdr:nvSpPr>
                <xdr:cNvPr id="153" name="Rectangle 52">
                  <a:extLst>
                    <a:ext uri="{FF2B5EF4-FFF2-40B4-BE49-F238E27FC236}">
                      <a16:creationId xmlns:a16="http://schemas.microsoft.com/office/drawing/2014/main" id="{00000000-0008-0000-0F00-000099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4" name="Rectangle 53">
                  <a:extLst>
                    <a:ext uri="{FF2B5EF4-FFF2-40B4-BE49-F238E27FC236}">
                      <a16:creationId xmlns:a16="http://schemas.microsoft.com/office/drawing/2014/main" id="{00000000-0008-0000-0F00-00009A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50" name="Group 54">
                <a:extLst>
                  <a:ext uri="{FF2B5EF4-FFF2-40B4-BE49-F238E27FC236}">
                    <a16:creationId xmlns:a16="http://schemas.microsoft.com/office/drawing/2014/main" id="{00000000-0008-0000-0F00-000096000000}"/>
                  </a:ext>
                </a:extLst>
              </xdr:cNvPr>
              <xdr:cNvGrpSpPr>
                <a:grpSpLocks/>
              </xdr:cNvGrpSpPr>
            </xdr:nvGrpSpPr>
            <xdr:grpSpPr bwMode="auto">
              <a:xfrm rot="-5400000">
                <a:off x="802" y="471"/>
                <a:ext cx="9" cy="35"/>
                <a:chOff x="757" y="522"/>
                <a:chExt cx="12" cy="43"/>
              </a:xfrm>
            </xdr:grpSpPr>
            <xdr:sp macro="" textlink="">
              <xdr:nvSpPr>
                <xdr:cNvPr id="151" name="Rectangle 55">
                  <a:extLst>
                    <a:ext uri="{FF2B5EF4-FFF2-40B4-BE49-F238E27FC236}">
                      <a16:creationId xmlns:a16="http://schemas.microsoft.com/office/drawing/2014/main" id="{00000000-0008-0000-0F00-000097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2" name="Rectangle 56">
                  <a:extLst>
                    <a:ext uri="{FF2B5EF4-FFF2-40B4-BE49-F238E27FC236}">
                      <a16:creationId xmlns:a16="http://schemas.microsoft.com/office/drawing/2014/main" id="{00000000-0008-0000-0F00-000098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sp macro="" textlink="">
          <xdr:nvSpPr>
            <xdr:cNvPr id="130" name="Rectangle 57">
              <a:extLst>
                <a:ext uri="{FF2B5EF4-FFF2-40B4-BE49-F238E27FC236}">
                  <a16:creationId xmlns:a16="http://schemas.microsoft.com/office/drawing/2014/main" id="{00000000-0008-0000-0F00-000082000000}"/>
                </a:ext>
              </a:extLst>
            </xdr:cNvPr>
            <xdr:cNvSpPr>
              <a:spLocks noChangeArrowheads="1"/>
            </xdr:cNvSpPr>
          </xdr:nvSpPr>
          <xdr:spPr bwMode="auto">
            <a:xfrm rot="-5400000">
              <a:off x="599" y="385"/>
              <a:ext cx="11" cy="2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1" name="Rectangle 58">
              <a:extLst>
                <a:ext uri="{FF2B5EF4-FFF2-40B4-BE49-F238E27FC236}">
                  <a16:creationId xmlns:a16="http://schemas.microsoft.com/office/drawing/2014/main" id="{00000000-0008-0000-0F00-000083000000}"/>
                </a:ext>
              </a:extLst>
            </xdr:cNvPr>
            <xdr:cNvSpPr>
              <a:spLocks noChangeArrowheads="1"/>
            </xdr:cNvSpPr>
          </xdr:nvSpPr>
          <xdr:spPr bwMode="auto">
            <a:xfrm rot="-5400000">
              <a:off x="577" y="396"/>
              <a:ext cx="23" cy="5"/>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2" name="Rectangle 59">
              <a:extLst>
                <a:ext uri="{FF2B5EF4-FFF2-40B4-BE49-F238E27FC236}">
                  <a16:creationId xmlns:a16="http://schemas.microsoft.com/office/drawing/2014/main" id="{00000000-0008-0000-0F00-000084000000}"/>
                </a:ext>
              </a:extLst>
            </xdr:cNvPr>
            <xdr:cNvSpPr>
              <a:spLocks noChangeArrowheads="1"/>
            </xdr:cNvSpPr>
          </xdr:nvSpPr>
          <xdr:spPr bwMode="auto">
            <a:xfrm rot="-5400000">
              <a:off x="572" y="396"/>
              <a:ext cx="23" cy="5"/>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33" name="Group 60">
              <a:extLst>
                <a:ext uri="{FF2B5EF4-FFF2-40B4-BE49-F238E27FC236}">
                  <a16:creationId xmlns:a16="http://schemas.microsoft.com/office/drawing/2014/main" id="{00000000-0008-0000-0F00-000085000000}"/>
                </a:ext>
              </a:extLst>
            </xdr:cNvPr>
            <xdr:cNvGrpSpPr>
              <a:grpSpLocks/>
            </xdr:cNvGrpSpPr>
          </xdr:nvGrpSpPr>
          <xdr:grpSpPr bwMode="auto">
            <a:xfrm rot="5400000">
              <a:off x="585" y="399"/>
              <a:ext cx="3" cy="17"/>
              <a:chOff x="757" y="522"/>
              <a:chExt cx="12" cy="43"/>
            </a:xfrm>
          </xdr:grpSpPr>
          <xdr:sp macro="" textlink="">
            <xdr:nvSpPr>
              <xdr:cNvPr id="144" name="Rectangle 61">
                <a:extLst>
                  <a:ext uri="{FF2B5EF4-FFF2-40B4-BE49-F238E27FC236}">
                    <a16:creationId xmlns:a16="http://schemas.microsoft.com/office/drawing/2014/main" id="{00000000-0008-0000-0F00-000090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5" name="Rectangle 62">
                <a:extLst>
                  <a:ext uri="{FF2B5EF4-FFF2-40B4-BE49-F238E27FC236}">
                    <a16:creationId xmlns:a16="http://schemas.microsoft.com/office/drawing/2014/main" id="{00000000-0008-0000-0F00-000091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34" name="Group 63">
              <a:extLst>
                <a:ext uri="{FF2B5EF4-FFF2-40B4-BE49-F238E27FC236}">
                  <a16:creationId xmlns:a16="http://schemas.microsoft.com/office/drawing/2014/main" id="{00000000-0008-0000-0F00-000086000000}"/>
                </a:ext>
              </a:extLst>
            </xdr:cNvPr>
            <xdr:cNvGrpSpPr>
              <a:grpSpLocks/>
            </xdr:cNvGrpSpPr>
          </xdr:nvGrpSpPr>
          <xdr:grpSpPr bwMode="auto">
            <a:xfrm rot="5400000">
              <a:off x="585" y="381"/>
              <a:ext cx="4" cy="17"/>
              <a:chOff x="757" y="522"/>
              <a:chExt cx="12" cy="43"/>
            </a:xfrm>
          </xdr:grpSpPr>
          <xdr:sp macro="" textlink="">
            <xdr:nvSpPr>
              <xdr:cNvPr id="142" name="Rectangle 64">
                <a:extLst>
                  <a:ext uri="{FF2B5EF4-FFF2-40B4-BE49-F238E27FC236}">
                    <a16:creationId xmlns:a16="http://schemas.microsoft.com/office/drawing/2014/main" id="{00000000-0008-0000-0F00-00008E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3" name="Rectangle 65">
                <a:extLst>
                  <a:ext uri="{FF2B5EF4-FFF2-40B4-BE49-F238E27FC236}">
                    <a16:creationId xmlns:a16="http://schemas.microsoft.com/office/drawing/2014/main" id="{00000000-0008-0000-0F00-00008F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35" name="Group 66">
              <a:extLst>
                <a:ext uri="{FF2B5EF4-FFF2-40B4-BE49-F238E27FC236}">
                  <a16:creationId xmlns:a16="http://schemas.microsoft.com/office/drawing/2014/main" id="{00000000-0008-0000-0F00-000087000000}"/>
                </a:ext>
              </a:extLst>
            </xdr:cNvPr>
            <xdr:cNvGrpSpPr>
              <a:grpSpLocks/>
            </xdr:cNvGrpSpPr>
          </xdr:nvGrpSpPr>
          <xdr:grpSpPr bwMode="auto">
            <a:xfrm>
              <a:off x="613" y="372"/>
              <a:ext cx="5" cy="19"/>
              <a:chOff x="757" y="522"/>
              <a:chExt cx="12" cy="43"/>
            </a:xfrm>
          </xdr:grpSpPr>
          <xdr:sp macro="" textlink="">
            <xdr:nvSpPr>
              <xdr:cNvPr id="140" name="Rectangle 67">
                <a:extLst>
                  <a:ext uri="{FF2B5EF4-FFF2-40B4-BE49-F238E27FC236}">
                    <a16:creationId xmlns:a16="http://schemas.microsoft.com/office/drawing/2014/main" id="{00000000-0008-0000-0F00-00008C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1" name="Rectangle 68">
                <a:extLst>
                  <a:ext uri="{FF2B5EF4-FFF2-40B4-BE49-F238E27FC236}">
                    <a16:creationId xmlns:a16="http://schemas.microsoft.com/office/drawing/2014/main" id="{00000000-0008-0000-0F00-00008D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136" name="Group 69">
              <a:extLst>
                <a:ext uri="{FF2B5EF4-FFF2-40B4-BE49-F238E27FC236}">
                  <a16:creationId xmlns:a16="http://schemas.microsoft.com/office/drawing/2014/main" id="{00000000-0008-0000-0F00-000088000000}"/>
                </a:ext>
              </a:extLst>
            </xdr:cNvPr>
            <xdr:cNvGrpSpPr>
              <a:grpSpLocks/>
            </xdr:cNvGrpSpPr>
          </xdr:nvGrpSpPr>
          <xdr:grpSpPr bwMode="auto">
            <a:xfrm>
              <a:off x="659" y="372"/>
              <a:ext cx="5" cy="19"/>
              <a:chOff x="757" y="522"/>
              <a:chExt cx="12" cy="43"/>
            </a:xfrm>
          </xdr:grpSpPr>
          <xdr:sp macro="" textlink="">
            <xdr:nvSpPr>
              <xdr:cNvPr id="138" name="Rectangle 70">
                <a:extLst>
                  <a:ext uri="{FF2B5EF4-FFF2-40B4-BE49-F238E27FC236}">
                    <a16:creationId xmlns:a16="http://schemas.microsoft.com/office/drawing/2014/main" id="{00000000-0008-0000-0F00-00008A000000}"/>
                  </a:ext>
                </a:extLst>
              </xdr:cNvPr>
              <xdr:cNvSpPr>
                <a:spLocks noChangeArrowheads="1"/>
              </xdr:cNvSpPr>
            </xdr:nvSpPr>
            <xdr:spPr bwMode="auto">
              <a:xfrm>
                <a:off x="757" y="522"/>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9" name="Rectangle 71">
                <a:extLst>
                  <a:ext uri="{FF2B5EF4-FFF2-40B4-BE49-F238E27FC236}">
                    <a16:creationId xmlns:a16="http://schemas.microsoft.com/office/drawing/2014/main" id="{00000000-0008-0000-0F00-00008B000000}"/>
                  </a:ext>
                </a:extLst>
              </xdr:cNvPr>
              <xdr:cNvSpPr>
                <a:spLocks noChangeArrowheads="1"/>
              </xdr:cNvSpPr>
            </xdr:nvSpPr>
            <xdr:spPr bwMode="auto">
              <a:xfrm>
                <a:off x="757" y="557"/>
                <a:ext cx="12" cy="8"/>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137" name="Rectangle 72">
              <a:extLst>
                <a:ext uri="{FF2B5EF4-FFF2-40B4-BE49-F238E27FC236}">
                  <a16:creationId xmlns:a16="http://schemas.microsoft.com/office/drawing/2014/main" id="{00000000-0008-0000-0F00-000089000000}"/>
                </a:ext>
              </a:extLst>
            </xdr:cNvPr>
            <xdr:cNvSpPr>
              <a:spLocks noChangeArrowheads="1"/>
            </xdr:cNvSpPr>
          </xdr:nvSpPr>
          <xdr:spPr bwMode="auto">
            <a:xfrm>
              <a:off x="596" y="454"/>
              <a:ext cx="95" cy="9"/>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twoCellAnchor>
    <xdr:from>
      <xdr:col>10</xdr:col>
      <xdr:colOff>409575</xdr:colOff>
      <xdr:row>34</xdr:row>
      <xdr:rowOff>200025</xdr:rowOff>
    </xdr:from>
    <xdr:to>
      <xdr:col>10</xdr:col>
      <xdr:colOff>800100</xdr:colOff>
      <xdr:row>43</xdr:row>
      <xdr:rowOff>85725</xdr:rowOff>
    </xdr:to>
    <xdr:sp macro="" textlink="">
      <xdr:nvSpPr>
        <xdr:cNvPr id="163" name="Rectangle 1167">
          <a:extLst>
            <a:ext uri="{FF2B5EF4-FFF2-40B4-BE49-F238E27FC236}">
              <a16:creationId xmlns:a16="http://schemas.microsoft.com/office/drawing/2014/main" id="{00000000-0008-0000-0F00-0000A3000000}"/>
            </a:ext>
          </a:extLst>
        </xdr:cNvPr>
        <xdr:cNvSpPr>
          <a:spLocks noChangeArrowheads="1"/>
        </xdr:cNvSpPr>
      </xdr:nvSpPr>
      <xdr:spPr bwMode="auto">
        <a:xfrm>
          <a:off x="8201025" y="7743825"/>
          <a:ext cx="390525" cy="1943100"/>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409575</xdr:colOff>
      <xdr:row>67</xdr:row>
      <xdr:rowOff>152400</xdr:rowOff>
    </xdr:from>
    <xdr:to>
      <xdr:col>10</xdr:col>
      <xdr:colOff>847725</xdr:colOff>
      <xdr:row>74</xdr:row>
      <xdr:rowOff>219075</xdr:rowOff>
    </xdr:to>
    <xdr:sp macro="" textlink="">
      <xdr:nvSpPr>
        <xdr:cNvPr id="164" name="Rectangle 1168">
          <a:extLst>
            <a:ext uri="{FF2B5EF4-FFF2-40B4-BE49-F238E27FC236}">
              <a16:creationId xmlns:a16="http://schemas.microsoft.com/office/drawing/2014/main" id="{00000000-0008-0000-0F00-0000A4000000}"/>
            </a:ext>
          </a:extLst>
        </xdr:cNvPr>
        <xdr:cNvSpPr>
          <a:spLocks noChangeArrowheads="1"/>
        </xdr:cNvSpPr>
      </xdr:nvSpPr>
      <xdr:spPr bwMode="auto">
        <a:xfrm>
          <a:off x="8201025" y="15240000"/>
          <a:ext cx="438150" cy="1666875"/>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428625</xdr:colOff>
      <xdr:row>67</xdr:row>
      <xdr:rowOff>28575</xdr:rowOff>
    </xdr:from>
    <xdr:to>
      <xdr:col>10</xdr:col>
      <xdr:colOff>819150</xdr:colOff>
      <xdr:row>67</xdr:row>
      <xdr:rowOff>152400</xdr:rowOff>
    </xdr:to>
    <xdr:grpSp>
      <xdr:nvGrpSpPr>
        <xdr:cNvPr id="165" name="Group 1169">
          <a:extLst>
            <a:ext uri="{FF2B5EF4-FFF2-40B4-BE49-F238E27FC236}">
              <a16:creationId xmlns:a16="http://schemas.microsoft.com/office/drawing/2014/main" id="{00000000-0008-0000-0F00-0000A5000000}"/>
            </a:ext>
          </a:extLst>
        </xdr:cNvPr>
        <xdr:cNvGrpSpPr>
          <a:grpSpLocks/>
        </xdr:cNvGrpSpPr>
      </xdr:nvGrpSpPr>
      <xdr:grpSpPr bwMode="auto">
        <a:xfrm>
          <a:off x="8221807" y="14887575"/>
          <a:ext cx="390525" cy="123825"/>
          <a:chOff x="754" y="806"/>
          <a:chExt cx="41" cy="43"/>
        </a:xfrm>
      </xdr:grpSpPr>
      <xdr:sp macro="" textlink="">
        <xdr:nvSpPr>
          <xdr:cNvPr id="166" name="Rectangle 1170">
            <a:extLst>
              <a:ext uri="{FF2B5EF4-FFF2-40B4-BE49-F238E27FC236}">
                <a16:creationId xmlns:a16="http://schemas.microsoft.com/office/drawing/2014/main" id="{00000000-0008-0000-0F00-0000A6000000}"/>
              </a:ext>
            </a:extLst>
          </xdr:cNvPr>
          <xdr:cNvSpPr>
            <a:spLocks noChangeArrowheads="1"/>
          </xdr:cNvSpPr>
        </xdr:nvSpPr>
        <xdr:spPr bwMode="auto">
          <a:xfrm rot="10800000" flipH="1">
            <a:off x="759" y="806"/>
            <a:ext cx="30" cy="33"/>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7" name="Rectangle 1171">
            <a:extLst>
              <a:ext uri="{FF2B5EF4-FFF2-40B4-BE49-F238E27FC236}">
                <a16:creationId xmlns:a16="http://schemas.microsoft.com/office/drawing/2014/main" id="{00000000-0008-0000-0F00-0000A7000000}"/>
              </a:ext>
            </a:extLst>
          </xdr:cNvPr>
          <xdr:cNvSpPr>
            <a:spLocks noChangeArrowheads="1"/>
          </xdr:cNvSpPr>
        </xdr:nvSpPr>
        <xdr:spPr bwMode="auto">
          <a:xfrm rot="10800000" flipH="1">
            <a:off x="754" y="837"/>
            <a:ext cx="41" cy="12"/>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8</xdr:col>
      <xdr:colOff>933450</xdr:colOff>
      <xdr:row>78</xdr:row>
      <xdr:rowOff>114300</xdr:rowOff>
    </xdr:from>
    <xdr:to>
      <xdr:col>9</xdr:col>
      <xdr:colOff>114300</xdr:colOff>
      <xdr:row>78</xdr:row>
      <xdr:rowOff>114300</xdr:rowOff>
    </xdr:to>
    <xdr:sp macro="" textlink="">
      <xdr:nvSpPr>
        <xdr:cNvPr id="168" name="Line 1176">
          <a:extLst>
            <a:ext uri="{FF2B5EF4-FFF2-40B4-BE49-F238E27FC236}">
              <a16:creationId xmlns:a16="http://schemas.microsoft.com/office/drawing/2014/main" id="{00000000-0008-0000-0F00-0000A8000000}"/>
            </a:ext>
          </a:extLst>
        </xdr:cNvPr>
        <xdr:cNvSpPr>
          <a:spLocks noChangeShapeType="1"/>
        </xdr:cNvSpPr>
      </xdr:nvSpPr>
      <xdr:spPr bwMode="auto">
        <a:xfrm>
          <a:off x="7324725" y="17716500"/>
          <a:ext cx="3905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10</xdr:col>
      <xdr:colOff>504825</xdr:colOff>
      <xdr:row>8</xdr:row>
      <xdr:rowOff>0</xdr:rowOff>
    </xdr:from>
    <xdr:to>
      <xdr:col>10</xdr:col>
      <xdr:colOff>695325</xdr:colOff>
      <xdr:row>9</xdr:row>
      <xdr:rowOff>19050</xdr:rowOff>
    </xdr:to>
    <xdr:grpSp>
      <xdr:nvGrpSpPr>
        <xdr:cNvPr id="169" name="Group 1196">
          <a:extLst>
            <a:ext uri="{FF2B5EF4-FFF2-40B4-BE49-F238E27FC236}">
              <a16:creationId xmlns:a16="http://schemas.microsoft.com/office/drawing/2014/main" id="{00000000-0008-0000-0F00-0000A9000000}"/>
            </a:ext>
          </a:extLst>
        </xdr:cNvPr>
        <xdr:cNvGrpSpPr>
          <a:grpSpLocks/>
        </xdr:cNvGrpSpPr>
      </xdr:nvGrpSpPr>
      <xdr:grpSpPr bwMode="auto">
        <a:xfrm>
          <a:off x="8298007" y="1575955"/>
          <a:ext cx="190500" cy="244186"/>
          <a:chOff x="1176" y="147"/>
          <a:chExt cx="15" cy="22"/>
        </a:xfrm>
      </xdr:grpSpPr>
      <xdr:sp macro="" textlink="">
        <xdr:nvSpPr>
          <xdr:cNvPr id="170" name="Oval 1197">
            <a:extLst>
              <a:ext uri="{FF2B5EF4-FFF2-40B4-BE49-F238E27FC236}">
                <a16:creationId xmlns:a16="http://schemas.microsoft.com/office/drawing/2014/main" id="{00000000-0008-0000-0F00-0000AA000000}"/>
              </a:ext>
            </a:extLst>
          </xdr:cNvPr>
          <xdr:cNvSpPr>
            <a:spLocks noChangeArrowheads="1"/>
          </xdr:cNvSpPr>
        </xdr:nvSpPr>
        <xdr:spPr bwMode="auto">
          <a:xfrm>
            <a:off x="1176" y="147"/>
            <a:ext cx="15" cy="14"/>
          </a:xfrm>
          <a:prstGeom prst="ellipse">
            <a:avLst/>
          </a:prstGeom>
          <a:solidFill>
            <a:srgbClr val="FFFFFF"/>
          </a:solidFill>
          <a:ln w="9525">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71" name="Line 1198">
            <a:extLst>
              <a:ext uri="{FF2B5EF4-FFF2-40B4-BE49-F238E27FC236}">
                <a16:creationId xmlns:a16="http://schemas.microsoft.com/office/drawing/2014/main" id="{00000000-0008-0000-0F00-0000AB000000}"/>
              </a:ext>
            </a:extLst>
          </xdr:cNvPr>
          <xdr:cNvSpPr>
            <a:spLocks noChangeShapeType="1"/>
          </xdr:cNvSpPr>
        </xdr:nvSpPr>
        <xdr:spPr bwMode="auto">
          <a:xfrm>
            <a:off x="1178" y="150"/>
            <a:ext cx="6" cy="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72" name="Rectangle 1199">
            <a:extLst>
              <a:ext uri="{FF2B5EF4-FFF2-40B4-BE49-F238E27FC236}">
                <a16:creationId xmlns:a16="http://schemas.microsoft.com/office/drawing/2014/main" id="{00000000-0008-0000-0F00-0000AC000000}"/>
              </a:ext>
            </a:extLst>
          </xdr:cNvPr>
          <xdr:cNvSpPr>
            <a:spLocks noChangeArrowheads="1"/>
          </xdr:cNvSpPr>
        </xdr:nvSpPr>
        <xdr:spPr bwMode="auto">
          <a:xfrm>
            <a:off x="1181" y="161"/>
            <a:ext cx="4" cy="8"/>
          </a:xfrm>
          <a:prstGeom prst="rect">
            <a:avLst/>
          </a:prstGeom>
          <a:gradFill rotWithShape="0">
            <a:gsLst>
              <a:gs pos="0">
                <a:srgbClr val="373737"/>
              </a:gs>
              <a:gs pos="50000">
                <a:srgbClr val="777777"/>
              </a:gs>
              <a:gs pos="100000">
                <a:srgbClr val="373737"/>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10</xdr:col>
      <xdr:colOff>409575</xdr:colOff>
      <xdr:row>75</xdr:row>
      <xdr:rowOff>0</xdr:rowOff>
    </xdr:from>
    <xdr:to>
      <xdr:col>10</xdr:col>
      <xdr:colOff>857250</xdr:colOff>
      <xdr:row>81</xdr:row>
      <xdr:rowOff>180975</xdr:rowOff>
    </xdr:to>
    <xdr:grpSp>
      <xdr:nvGrpSpPr>
        <xdr:cNvPr id="173" name="Group 1258">
          <a:extLst>
            <a:ext uri="{FF2B5EF4-FFF2-40B4-BE49-F238E27FC236}">
              <a16:creationId xmlns:a16="http://schemas.microsoft.com/office/drawing/2014/main" id="{00000000-0008-0000-0F00-0000AD000000}"/>
            </a:ext>
          </a:extLst>
        </xdr:cNvPr>
        <xdr:cNvGrpSpPr>
          <a:grpSpLocks/>
        </xdr:cNvGrpSpPr>
      </xdr:nvGrpSpPr>
      <xdr:grpSpPr bwMode="auto">
        <a:xfrm>
          <a:off x="8202757" y="16660091"/>
          <a:ext cx="447675" cy="1531793"/>
          <a:chOff x="767" y="1752"/>
          <a:chExt cx="47" cy="163"/>
        </a:xfrm>
      </xdr:grpSpPr>
      <xdr:grpSp>
        <xdr:nvGrpSpPr>
          <xdr:cNvPr id="174" name="Group 1259">
            <a:extLst>
              <a:ext uri="{FF2B5EF4-FFF2-40B4-BE49-F238E27FC236}">
                <a16:creationId xmlns:a16="http://schemas.microsoft.com/office/drawing/2014/main" id="{00000000-0008-0000-0F00-0000AE000000}"/>
              </a:ext>
            </a:extLst>
          </xdr:cNvPr>
          <xdr:cNvGrpSpPr>
            <a:grpSpLocks/>
          </xdr:cNvGrpSpPr>
        </xdr:nvGrpSpPr>
        <xdr:grpSpPr bwMode="auto">
          <a:xfrm>
            <a:off x="767" y="1853"/>
            <a:ext cx="47" cy="62"/>
            <a:chOff x="1115" y="1684"/>
            <a:chExt cx="47" cy="92"/>
          </a:xfrm>
        </xdr:grpSpPr>
        <xdr:sp macro="" textlink="">
          <xdr:nvSpPr>
            <xdr:cNvPr id="179" name="AutoShape 1260">
              <a:extLst>
                <a:ext uri="{FF2B5EF4-FFF2-40B4-BE49-F238E27FC236}">
                  <a16:creationId xmlns:a16="http://schemas.microsoft.com/office/drawing/2014/main" id="{00000000-0008-0000-0F00-0000B3000000}"/>
                </a:ext>
              </a:extLst>
            </xdr:cNvPr>
            <xdr:cNvSpPr>
              <a:spLocks noChangeArrowheads="1"/>
            </xdr:cNvSpPr>
          </xdr:nvSpPr>
          <xdr:spPr bwMode="auto">
            <a:xfrm rot="-5413062">
              <a:off x="1144" y="1757"/>
              <a:ext cx="25" cy="11"/>
            </a:xfrm>
            <a:prstGeom prst="flowChartManualOperation">
              <a:avLst/>
            </a:prstGeom>
            <a:gradFill rotWithShape="0">
              <a:gsLst>
                <a:gs pos="0">
                  <a:srgbClr val="6C0000"/>
                </a:gs>
                <a:gs pos="50000">
                  <a:srgbClr xmlns:mc="http://schemas.openxmlformats.org/markup-compatibility/2006" xmlns:a14="http://schemas.microsoft.com/office/drawing/2010/main" val="FF0000" mc:Ignorable="a14" a14:legacySpreadsheetColorIndex="10"/>
                </a:gs>
                <a:gs pos="100000">
                  <a:srgbClr val="6C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 name="AutoShape 1261">
              <a:extLst>
                <a:ext uri="{FF2B5EF4-FFF2-40B4-BE49-F238E27FC236}">
                  <a16:creationId xmlns:a16="http://schemas.microsoft.com/office/drawing/2014/main" id="{00000000-0008-0000-0F00-0000B4000000}"/>
                </a:ext>
              </a:extLst>
            </xdr:cNvPr>
            <xdr:cNvSpPr>
              <a:spLocks noChangeArrowheads="1"/>
            </xdr:cNvSpPr>
          </xdr:nvSpPr>
          <xdr:spPr bwMode="auto">
            <a:xfrm rot="5386938">
              <a:off x="1108" y="1757"/>
              <a:ext cx="25" cy="11"/>
            </a:xfrm>
            <a:prstGeom prst="flowChartManualOperation">
              <a:avLst/>
            </a:prstGeom>
            <a:gradFill rotWithShape="0">
              <a:gsLst>
                <a:gs pos="0">
                  <a:srgbClr val="6C0000"/>
                </a:gs>
                <a:gs pos="50000">
                  <a:srgbClr xmlns:mc="http://schemas.openxmlformats.org/markup-compatibility/2006" xmlns:a14="http://schemas.microsoft.com/office/drawing/2010/main" val="FF0000" mc:Ignorable="a14" a14:legacySpreadsheetColorIndex="10"/>
                </a:gs>
                <a:gs pos="100000">
                  <a:srgbClr val="6C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1" name="Rectangle 1262">
              <a:extLst>
                <a:ext uri="{FF2B5EF4-FFF2-40B4-BE49-F238E27FC236}">
                  <a16:creationId xmlns:a16="http://schemas.microsoft.com/office/drawing/2014/main" id="{00000000-0008-0000-0F00-0000B5000000}"/>
                </a:ext>
              </a:extLst>
            </xdr:cNvPr>
            <xdr:cNvSpPr>
              <a:spLocks noChangeArrowheads="1"/>
            </xdr:cNvSpPr>
          </xdr:nvSpPr>
          <xdr:spPr bwMode="auto">
            <a:xfrm>
              <a:off x="1126" y="1684"/>
              <a:ext cx="24" cy="92"/>
            </a:xfrm>
            <a:prstGeom prst="rect">
              <a:avLst/>
            </a:prstGeom>
            <a:gradFill rotWithShape="0">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82" name="Group 1263">
              <a:extLst>
                <a:ext uri="{FF2B5EF4-FFF2-40B4-BE49-F238E27FC236}">
                  <a16:creationId xmlns:a16="http://schemas.microsoft.com/office/drawing/2014/main" id="{00000000-0008-0000-0F00-0000B6000000}"/>
                </a:ext>
              </a:extLst>
            </xdr:cNvPr>
            <xdr:cNvGrpSpPr>
              <a:grpSpLocks/>
            </xdr:cNvGrpSpPr>
          </xdr:nvGrpSpPr>
          <xdr:grpSpPr bwMode="auto">
            <a:xfrm>
              <a:off x="1136" y="1750"/>
              <a:ext cx="4" cy="25"/>
              <a:chOff x="470" y="1138"/>
              <a:chExt cx="3" cy="61"/>
            </a:xfrm>
          </xdr:grpSpPr>
          <xdr:sp macro="" textlink="">
            <xdr:nvSpPr>
              <xdr:cNvPr id="183" name="Rectangle 1264">
                <a:extLst>
                  <a:ext uri="{FF2B5EF4-FFF2-40B4-BE49-F238E27FC236}">
                    <a16:creationId xmlns:a16="http://schemas.microsoft.com/office/drawing/2014/main" id="{00000000-0008-0000-0F00-0000B7000000}"/>
                  </a:ext>
                </a:extLst>
              </xdr:cNvPr>
              <xdr:cNvSpPr>
                <a:spLocks noChangeArrowheads="1"/>
              </xdr:cNvSpPr>
            </xdr:nvSpPr>
            <xdr:spPr bwMode="auto">
              <a:xfrm>
                <a:off x="470" y="1138"/>
                <a:ext cx="3" cy="61"/>
              </a:xfrm>
              <a:prstGeom prst="rect">
                <a:avLst/>
              </a:prstGeom>
              <a:gradFill rotWithShape="0">
                <a:gsLst>
                  <a:gs pos="0">
                    <a:srgbClr val="6C0000"/>
                  </a:gs>
                  <a:gs pos="50000">
                    <a:srgbClr xmlns:mc="http://schemas.openxmlformats.org/markup-compatibility/2006" xmlns:a14="http://schemas.microsoft.com/office/drawing/2010/main" val="FF0000" mc:Ignorable="a14" a14:legacySpreadsheetColorIndex="10"/>
                  </a:gs>
                  <a:gs pos="100000">
                    <a:srgbClr val="6C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4" name="Line 1265">
                <a:extLst>
                  <a:ext uri="{FF2B5EF4-FFF2-40B4-BE49-F238E27FC236}">
                    <a16:creationId xmlns:a16="http://schemas.microsoft.com/office/drawing/2014/main" id="{00000000-0008-0000-0F00-0000B8000000}"/>
                  </a:ext>
                </a:extLst>
              </xdr:cNvPr>
              <xdr:cNvSpPr>
                <a:spLocks noChangeShapeType="1"/>
              </xdr:cNvSpPr>
            </xdr:nvSpPr>
            <xdr:spPr bwMode="auto">
              <a:xfrm>
                <a:off x="470" y="1188"/>
                <a:ext cx="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5" name="Line 1266">
                <a:extLst>
                  <a:ext uri="{FF2B5EF4-FFF2-40B4-BE49-F238E27FC236}">
                    <a16:creationId xmlns:a16="http://schemas.microsoft.com/office/drawing/2014/main" id="{00000000-0008-0000-0F00-0000B9000000}"/>
                  </a:ext>
                </a:extLst>
              </xdr:cNvPr>
              <xdr:cNvSpPr>
                <a:spLocks noChangeShapeType="1"/>
              </xdr:cNvSpPr>
            </xdr:nvSpPr>
            <xdr:spPr bwMode="auto">
              <a:xfrm>
                <a:off x="470" y="1150"/>
                <a:ext cx="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sp macro="" textlink="">
        <xdr:nvSpPr>
          <xdr:cNvPr id="175" name="Rectangle 1267">
            <a:extLst>
              <a:ext uri="{FF2B5EF4-FFF2-40B4-BE49-F238E27FC236}">
                <a16:creationId xmlns:a16="http://schemas.microsoft.com/office/drawing/2014/main" id="{00000000-0008-0000-0F00-0000AF000000}"/>
              </a:ext>
            </a:extLst>
          </xdr:cNvPr>
          <xdr:cNvSpPr>
            <a:spLocks noChangeArrowheads="1"/>
          </xdr:cNvSpPr>
        </xdr:nvSpPr>
        <xdr:spPr bwMode="auto">
          <a:xfrm rot="10800000" flipH="1" flipV="1">
            <a:off x="771" y="1761"/>
            <a:ext cx="40" cy="92"/>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176" name="Group 1268">
            <a:extLst>
              <a:ext uri="{FF2B5EF4-FFF2-40B4-BE49-F238E27FC236}">
                <a16:creationId xmlns:a16="http://schemas.microsoft.com/office/drawing/2014/main" id="{00000000-0008-0000-0F00-0000B0000000}"/>
              </a:ext>
            </a:extLst>
          </xdr:cNvPr>
          <xdr:cNvGrpSpPr>
            <a:grpSpLocks/>
          </xdr:cNvGrpSpPr>
        </xdr:nvGrpSpPr>
        <xdr:grpSpPr bwMode="auto">
          <a:xfrm>
            <a:off x="770" y="1752"/>
            <a:ext cx="40" cy="7"/>
            <a:chOff x="794" y="1117"/>
            <a:chExt cx="40" cy="9"/>
          </a:xfrm>
        </xdr:grpSpPr>
        <xdr:sp macro="" textlink="">
          <xdr:nvSpPr>
            <xdr:cNvPr id="177" name="Rectangle 1269">
              <a:extLst>
                <a:ext uri="{FF2B5EF4-FFF2-40B4-BE49-F238E27FC236}">
                  <a16:creationId xmlns:a16="http://schemas.microsoft.com/office/drawing/2014/main" id="{00000000-0008-0000-0F00-0000B1000000}"/>
                </a:ext>
              </a:extLst>
            </xdr:cNvPr>
            <xdr:cNvSpPr>
              <a:spLocks noChangeArrowheads="1"/>
            </xdr:cNvSpPr>
          </xdr:nvSpPr>
          <xdr:spPr bwMode="auto">
            <a:xfrm rot="10800000" flipH="1">
              <a:off x="794" y="1123"/>
              <a:ext cx="40" cy="3"/>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 name="Rectangle 1270">
              <a:extLst>
                <a:ext uri="{FF2B5EF4-FFF2-40B4-BE49-F238E27FC236}">
                  <a16:creationId xmlns:a16="http://schemas.microsoft.com/office/drawing/2014/main" id="{00000000-0008-0000-0F00-0000B2000000}"/>
                </a:ext>
              </a:extLst>
            </xdr:cNvPr>
            <xdr:cNvSpPr>
              <a:spLocks noChangeArrowheads="1"/>
            </xdr:cNvSpPr>
          </xdr:nvSpPr>
          <xdr:spPr bwMode="auto">
            <a:xfrm rot="10800000" flipH="1">
              <a:off x="800" y="1117"/>
              <a:ext cx="28" cy="6"/>
            </a:xfrm>
            <a:prstGeom prst="rect">
              <a:avLst/>
            </a:prstGeom>
            <a:gradFill rotWithShape="0">
              <a:gsLst>
                <a:gs pos="0">
                  <a:srgbClr val="760000"/>
                </a:gs>
                <a:gs pos="50000">
                  <a:srgbClr xmlns:mc="http://schemas.openxmlformats.org/markup-compatibility/2006" xmlns:a14="http://schemas.microsoft.com/office/drawing/2010/main" val="FF0000" mc:Ignorable="a14" a14:legacySpreadsheetColorIndex="10"/>
                </a:gs>
                <a:gs pos="100000">
                  <a:srgbClr val="760000"/>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0</xdr:colOff>
      <xdr:row>2</xdr:row>
      <xdr:rowOff>28575</xdr:rowOff>
    </xdr:from>
    <xdr:to>
      <xdr:col>10</xdr:col>
      <xdr:colOff>685800</xdr:colOff>
      <xdr:row>2</xdr:row>
      <xdr:rowOff>276225</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102" t="29073" r="16356" b="29074"/>
        <a:stretch/>
      </xdr:blipFill>
      <xdr:spPr>
        <a:xfrm>
          <a:off x="6867525" y="409575"/>
          <a:ext cx="685800" cy="247650"/>
        </a:xfrm>
        <a:prstGeom prst="rect">
          <a:avLst/>
        </a:prstGeom>
      </xdr:spPr>
    </xdr:pic>
    <xdr:clientData/>
  </xdr:twoCellAnchor>
  <xdr:twoCellAnchor editAs="oneCell">
    <xdr:from>
      <xdr:col>1</xdr:col>
      <xdr:colOff>219075</xdr:colOff>
      <xdr:row>1</xdr:row>
      <xdr:rowOff>133349</xdr:rowOff>
    </xdr:from>
    <xdr:to>
      <xdr:col>2</xdr:col>
      <xdr:colOff>695325</xdr:colOff>
      <xdr:row>2</xdr:row>
      <xdr:rowOff>290742</xdr:rowOff>
    </xdr:to>
    <xdr:pic>
      <xdr:nvPicPr>
        <xdr:cNvPr id="3" name="Picture 6">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075" y="323849"/>
          <a:ext cx="723900" cy="34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247650</xdr:colOff>
      <xdr:row>5</xdr:row>
      <xdr:rowOff>14287</xdr:rowOff>
    </xdr:from>
    <xdr:to>
      <xdr:col>19</xdr:col>
      <xdr:colOff>542925</xdr:colOff>
      <xdr:row>17</xdr:row>
      <xdr:rowOff>90487</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161925</xdr:colOff>
      <xdr:row>8</xdr:row>
      <xdr:rowOff>161925</xdr:rowOff>
    </xdr:from>
    <xdr:to>
      <xdr:col>19</xdr:col>
      <xdr:colOff>114301</xdr:colOff>
      <xdr:row>10</xdr:row>
      <xdr:rowOff>95250</xdr:rowOff>
    </xdr:to>
    <xdr:sp macro="" textlink="">
      <xdr:nvSpPr>
        <xdr:cNvPr id="5" name="Rectangle: Rounded Corners 4">
          <a:extLst>
            <a:ext uri="{FF2B5EF4-FFF2-40B4-BE49-F238E27FC236}">
              <a16:creationId xmlns:a16="http://schemas.microsoft.com/office/drawing/2014/main" id="{00000000-0008-0000-1000-000005000000}"/>
            </a:ext>
          </a:extLst>
        </xdr:cNvPr>
        <xdr:cNvSpPr/>
      </xdr:nvSpPr>
      <xdr:spPr>
        <a:xfrm>
          <a:off x="11068050" y="1876425"/>
          <a:ext cx="1171576" cy="3143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US" sz="1400" b="1"/>
            <a:t>IRR,</a:t>
          </a:r>
          <a:r>
            <a:rPr lang="en-US" sz="1400" b="1" baseline="0"/>
            <a:t> 14.38%</a:t>
          </a:r>
          <a:endParaRPr lang="en-US" sz="1400" b="1"/>
        </a:p>
      </xdr:txBody>
    </xdr:sp>
    <xdr:clientData/>
  </xdr:twoCellAnchor>
  <xdr:twoCellAnchor>
    <xdr:from>
      <xdr:col>17</xdr:col>
      <xdr:colOff>552450</xdr:colOff>
      <xdr:row>10</xdr:row>
      <xdr:rowOff>123825</xdr:rowOff>
    </xdr:from>
    <xdr:to>
      <xdr:col>18</xdr:col>
      <xdr:colOff>285750</xdr:colOff>
      <xdr:row>11</xdr:row>
      <xdr:rowOff>228600</xdr:rowOff>
    </xdr:to>
    <xdr:cxnSp macro="">
      <xdr:nvCxnSpPr>
        <xdr:cNvPr id="6" name="Straight Arrow Connector 5">
          <a:extLst>
            <a:ext uri="{FF2B5EF4-FFF2-40B4-BE49-F238E27FC236}">
              <a16:creationId xmlns:a16="http://schemas.microsoft.com/office/drawing/2014/main" id="{00000000-0008-0000-1000-000006000000}"/>
            </a:ext>
          </a:extLst>
        </xdr:cNvPr>
        <xdr:cNvCxnSpPr/>
      </xdr:nvCxnSpPr>
      <xdr:spPr>
        <a:xfrm flipH="1">
          <a:off x="11458575" y="2219325"/>
          <a:ext cx="342900"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0</xdr:colOff>
      <xdr:row>2</xdr:row>
      <xdr:rowOff>28575</xdr:rowOff>
    </xdr:from>
    <xdr:to>
      <xdr:col>10</xdr:col>
      <xdr:colOff>685800</xdr:colOff>
      <xdr:row>2</xdr:row>
      <xdr:rowOff>276225</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102" t="29073" r="16356" b="29074"/>
        <a:stretch/>
      </xdr:blipFill>
      <xdr:spPr>
        <a:xfrm>
          <a:off x="6867525" y="409575"/>
          <a:ext cx="685800" cy="247650"/>
        </a:xfrm>
        <a:prstGeom prst="rect">
          <a:avLst/>
        </a:prstGeom>
      </xdr:spPr>
    </xdr:pic>
    <xdr:clientData/>
  </xdr:twoCellAnchor>
  <xdr:twoCellAnchor editAs="oneCell">
    <xdr:from>
      <xdr:col>1</xdr:col>
      <xdr:colOff>219075</xdr:colOff>
      <xdr:row>1</xdr:row>
      <xdr:rowOff>133349</xdr:rowOff>
    </xdr:from>
    <xdr:to>
      <xdr:col>2</xdr:col>
      <xdr:colOff>695325</xdr:colOff>
      <xdr:row>2</xdr:row>
      <xdr:rowOff>290742</xdr:rowOff>
    </xdr:to>
    <xdr:pic>
      <xdr:nvPicPr>
        <xdr:cNvPr id="3" name="Picture 6">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075" y="323849"/>
          <a:ext cx="723900" cy="34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247650</xdr:colOff>
      <xdr:row>5</xdr:row>
      <xdr:rowOff>14287</xdr:rowOff>
    </xdr:from>
    <xdr:to>
      <xdr:col>19</xdr:col>
      <xdr:colOff>542925</xdr:colOff>
      <xdr:row>17</xdr:row>
      <xdr:rowOff>90487</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171450</xdr:colOff>
      <xdr:row>7</xdr:row>
      <xdr:rowOff>95250</xdr:rowOff>
    </xdr:from>
    <xdr:to>
      <xdr:col>18</xdr:col>
      <xdr:colOff>123826</xdr:colOff>
      <xdr:row>9</xdr:row>
      <xdr:rowOff>28575</xdr:rowOff>
    </xdr:to>
    <xdr:sp macro="" textlink="">
      <xdr:nvSpPr>
        <xdr:cNvPr id="5" name="Rectangle: Rounded Corners 4">
          <a:extLst>
            <a:ext uri="{FF2B5EF4-FFF2-40B4-BE49-F238E27FC236}">
              <a16:creationId xmlns:a16="http://schemas.microsoft.com/office/drawing/2014/main" id="{00000000-0008-0000-1100-000005000000}"/>
            </a:ext>
          </a:extLst>
        </xdr:cNvPr>
        <xdr:cNvSpPr/>
      </xdr:nvSpPr>
      <xdr:spPr>
        <a:xfrm>
          <a:off x="10467975" y="1619250"/>
          <a:ext cx="1171576" cy="3143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US" sz="1400" b="1"/>
            <a:t>IRR,</a:t>
          </a:r>
          <a:r>
            <a:rPr lang="en-US" sz="1400" b="1" baseline="0"/>
            <a:t> 11.74%</a:t>
          </a:r>
          <a:endParaRPr lang="en-US" sz="1400" b="1"/>
        </a:p>
      </xdr:txBody>
    </xdr:sp>
    <xdr:clientData/>
  </xdr:twoCellAnchor>
  <xdr:twoCellAnchor>
    <xdr:from>
      <xdr:col>16</xdr:col>
      <xdr:colOff>428625</xdr:colOff>
      <xdr:row>9</xdr:row>
      <xdr:rowOff>57150</xdr:rowOff>
    </xdr:from>
    <xdr:to>
      <xdr:col>17</xdr:col>
      <xdr:colOff>161925</xdr:colOff>
      <xdr:row>10</xdr:row>
      <xdr:rowOff>361950</xdr:rowOff>
    </xdr:to>
    <xdr:cxnSp macro="">
      <xdr:nvCxnSpPr>
        <xdr:cNvPr id="6" name="Straight Arrow Connector 5">
          <a:extLst>
            <a:ext uri="{FF2B5EF4-FFF2-40B4-BE49-F238E27FC236}">
              <a16:creationId xmlns:a16="http://schemas.microsoft.com/office/drawing/2014/main" id="{00000000-0008-0000-1100-000006000000}"/>
            </a:ext>
          </a:extLst>
        </xdr:cNvPr>
        <xdr:cNvCxnSpPr/>
      </xdr:nvCxnSpPr>
      <xdr:spPr>
        <a:xfrm flipH="1">
          <a:off x="10725150" y="1962150"/>
          <a:ext cx="342900"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140074</xdr:colOff>
      <xdr:row>117</xdr:row>
      <xdr:rowOff>168089</xdr:rowOff>
    </xdr:from>
    <xdr:to>
      <xdr:col>19</xdr:col>
      <xdr:colOff>51608</xdr:colOff>
      <xdr:row>155</xdr:row>
      <xdr:rowOff>126070</xdr:rowOff>
    </xdr:to>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2721" y="21935515"/>
          <a:ext cx="10951325" cy="7409890"/>
        </a:xfrm>
        <a:prstGeom prst="rect">
          <a:avLst/>
        </a:prstGeom>
      </xdr:spPr>
    </xdr:pic>
    <xdr:clientData/>
  </xdr:twoCellAnchor>
  <xdr:twoCellAnchor>
    <xdr:from>
      <xdr:col>3</xdr:col>
      <xdr:colOff>95250</xdr:colOff>
      <xdr:row>41</xdr:row>
      <xdr:rowOff>171450</xdr:rowOff>
    </xdr:from>
    <xdr:to>
      <xdr:col>6</xdr:col>
      <xdr:colOff>335757</xdr:colOff>
      <xdr:row>44</xdr:row>
      <xdr:rowOff>142875</xdr:rowOff>
    </xdr:to>
    <xdr:pic>
      <xdr:nvPicPr>
        <xdr:cNvPr id="2" name="Picture 15">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bwMode="auto">
        <a:xfrm>
          <a:off x="1955426" y="7981950"/>
          <a:ext cx="2436860" cy="542925"/>
        </a:xfrm>
        <a:prstGeom prst="rect">
          <a:avLst/>
        </a:prstGeom>
        <a:noFill/>
      </xdr:spPr>
    </xdr:pic>
    <xdr:clientData/>
  </xdr:twoCellAnchor>
  <xdr:twoCellAnchor>
    <xdr:from>
      <xdr:col>3</xdr:col>
      <xdr:colOff>19050</xdr:colOff>
      <xdr:row>45</xdr:row>
      <xdr:rowOff>0</xdr:rowOff>
    </xdr:from>
    <xdr:to>
      <xdr:col>5</xdr:col>
      <xdr:colOff>157163</xdr:colOff>
      <xdr:row>46</xdr:row>
      <xdr:rowOff>19050</xdr:rowOff>
    </xdr:to>
    <xdr:pic>
      <xdr:nvPicPr>
        <xdr:cNvPr id="3" name="Picture 1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blip>
        <a:srcRect/>
        <a:stretch>
          <a:fillRect/>
        </a:stretch>
      </xdr:blipFill>
      <xdr:spPr bwMode="auto">
        <a:xfrm>
          <a:off x="1924050" y="7620000"/>
          <a:ext cx="1357313" cy="2095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3</xdr:col>
          <xdr:colOff>9525</xdr:colOff>
          <xdr:row>45</xdr:row>
          <xdr:rowOff>180975</xdr:rowOff>
        </xdr:from>
        <xdr:to>
          <xdr:col>3</xdr:col>
          <xdr:colOff>304800</xdr:colOff>
          <xdr:row>48</xdr:row>
          <xdr:rowOff>19050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3</xdr:col>
      <xdr:colOff>294810</xdr:colOff>
      <xdr:row>50</xdr:row>
      <xdr:rowOff>128594</xdr:rowOff>
    </xdr:from>
    <xdr:to>
      <xdr:col>4</xdr:col>
      <xdr:colOff>90835</xdr:colOff>
      <xdr:row>52</xdr:row>
      <xdr:rowOff>147644</xdr:rowOff>
    </xdr:to>
    <xdr:pic>
      <xdr:nvPicPr>
        <xdr:cNvPr id="5" name="Picture 19">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blip>
        <a:srcRect/>
        <a:stretch>
          <a:fillRect/>
        </a:stretch>
      </xdr:blipFill>
      <xdr:spPr bwMode="auto">
        <a:xfrm>
          <a:off x="2154986" y="9082094"/>
          <a:ext cx="401143" cy="400050"/>
        </a:xfrm>
        <a:prstGeom prst="rect">
          <a:avLst/>
        </a:prstGeom>
        <a:noFill/>
      </xdr:spPr>
    </xdr:pic>
    <xdr:clientData/>
  </xdr:twoCellAnchor>
  <xdr:twoCellAnchor>
    <xdr:from>
      <xdr:col>3</xdr:col>
      <xdr:colOff>488950</xdr:colOff>
      <xdr:row>56</xdr:row>
      <xdr:rowOff>38101</xdr:rowOff>
    </xdr:from>
    <xdr:to>
      <xdr:col>5</xdr:col>
      <xdr:colOff>384175</xdr:colOff>
      <xdr:row>57</xdr:row>
      <xdr:rowOff>152401</xdr:rowOff>
    </xdr:to>
    <xdr:pic>
      <xdr:nvPicPr>
        <xdr:cNvPr id="6" name="Picture 2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blip>
        <a:srcRect/>
        <a:stretch>
          <a:fillRect/>
        </a:stretch>
      </xdr:blipFill>
      <xdr:spPr bwMode="auto">
        <a:xfrm>
          <a:off x="2317750" y="9563101"/>
          <a:ext cx="1114425" cy="304800"/>
        </a:xfrm>
        <a:prstGeom prst="rect">
          <a:avLst/>
        </a:prstGeom>
        <a:noFill/>
      </xdr:spPr>
    </xdr:pic>
    <xdr:clientData/>
  </xdr:twoCellAnchor>
  <xdr:twoCellAnchor>
    <xdr:from>
      <xdr:col>2</xdr:col>
      <xdr:colOff>388844</xdr:colOff>
      <xdr:row>134</xdr:row>
      <xdr:rowOff>160244</xdr:rowOff>
    </xdr:from>
    <xdr:to>
      <xdr:col>3</xdr:col>
      <xdr:colOff>360269</xdr:colOff>
      <xdr:row>136</xdr:row>
      <xdr:rowOff>49866</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1621491" y="25261420"/>
          <a:ext cx="587749" cy="281828"/>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ID" sz="1100"/>
            <a:t>18</a:t>
          </a:r>
        </a:p>
      </xdr:txBody>
    </xdr:sp>
    <xdr:clientData/>
  </xdr:twoCellAnchor>
  <xdr:twoCellAnchor>
    <xdr:from>
      <xdr:col>8</xdr:col>
      <xdr:colOff>177054</xdr:colOff>
      <xdr:row>154</xdr:row>
      <xdr:rowOff>112059</xdr:rowOff>
    </xdr:from>
    <xdr:to>
      <xdr:col>9</xdr:col>
      <xdr:colOff>137273</xdr:colOff>
      <xdr:row>156</xdr:row>
      <xdr:rowOff>1681</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5107642" y="29135294"/>
          <a:ext cx="576543" cy="281828"/>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ID" sz="1100"/>
            <a:t>480</a:t>
          </a:r>
        </a:p>
      </xdr:txBody>
    </xdr:sp>
    <xdr:clientData/>
  </xdr:twoCellAnchor>
  <xdr:twoCellAnchor>
    <xdr:from>
      <xdr:col>17</xdr:col>
      <xdr:colOff>547408</xdr:colOff>
      <xdr:row>140</xdr:row>
      <xdr:rowOff>49307</xdr:rowOff>
    </xdr:from>
    <xdr:to>
      <xdr:col>18</xdr:col>
      <xdr:colOff>518832</xdr:colOff>
      <xdr:row>141</xdr:row>
      <xdr:rowOff>140634</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11108952" y="26327101"/>
          <a:ext cx="587748" cy="287430"/>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ID" sz="1100"/>
            <a:t>50</a:t>
          </a:r>
        </a:p>
      </xdr:txBody>
    </xdr:sp>
    <xdr:clientData/>
  </xdr:twoCellAnchor>
  <xdr:twoCellAnchor>
    <xdr:from>
      <xdr:col>3</xdr:col>
      <xdr:colOff>476250</xdr:colOff>
      <xdr:row>135</xdr:row>
      <xdr:rowOff>105338</xdr:rowOff>
    </xdr:from>
    <xdr:to>
      <xdr:col>8</xdr:col>
      <xdr:colOff>443950</xdr:colOff>
      <xdr:row>135</xdr:row>
      <xdr:rowOff>105338</xdr:rowOff>
    </xdr:to>
    <xdr:cxnSp macro="">
      <xdr:nvCxnSpPr>
        <xdr:cNvPr id="62" name="Straight Connector 61">
          <a:extLst>
            <a:ext uri="{FF2B5EF4-FFF2-40B4-BE49-F238E27FC236}">
              <a16:creationId xmlns:a16="http://schemas.microsoft.com/office/drawing/2014/main" id="{00000000-0008-0000-0100-00003E000000}"/>
            </a:ext>
          </a:extLst>
        </xdr:cNvPr>
        <xdr:cNvCxnSpPr/>
      </xdr:nvCxnSpPr>
      <xdr:spPr>
        <a:xfrm>
          <a:off x="2325221" y="25402617"/>
          <a:ext cx="304931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453561</xdr:colOff>
      <xdr:row>135</xdr:row>
      <xdr:rowOff>127473</xdr:rowOff>
    </xdr:from>
    <xdr:to>
      <xdr:col>8</xdr:col>
      <xdr:colOff>453563</xdr:colOff>
      <xdr:row>153</xdr:row>
      <xdr:rowOff>169939</xdr:rowOff>
    </xdr:to>
    <xdr:cxnSp macro="">
      <xdr:nvCxnSpPr>
        <xdr:cNvPr id="63" name="Straight Connector 62">
          <a:extLst>
            <a:ext uri="{FF2B5EF4-FFF2-40B4-BE49-F238E27FC236}">
              <a16:creationId xmlns:a16="http://schemas.microsoft.com/office/drawing/2014/main" id="{00000000-0008-0000-0100-00003F000000}"/>
            </a:ext>
          </a:extLst>
        </xdr:cNvPr>
        <xdr:cNvCxnSpPr/>
      </xdr:nvCxnSpPr>
      <xdr:spPr>
        <a:xfrm>
          <a:off x="5384149" y="25424752"/>
          <a:ext cx="2" cy="3572319"/>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10</xdr:col>
      <xdr:colOff>544285</xdr:colOff>
      <xdr:row>30</xdr:row>
      <xdr:rowOff>0</xdr:rowOff>
    </xdr:from>
    <xdr:to>
      <xdr:col>25</xdr:col>
      <xdr:colOff>136071</xdr:colOff>
      <xdr:row>60</xdr:row>
      <xdr:rowOff>132007</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075714" y="5715000"/>
          <a:ext cx="8871858" cy="5847007"/>
        </a:xfrm>
        <a:prstGeom prst="rect">
          <a:avLst/>
        </a:prstGeom>
      </xdr:spPr>
    </xdr:pic>
    <xdr:clientData/>
  </xdr:twoCellAnchor>
  <xdr:twoCellAnchor>
    <xdr:from>
      <xdr:col>12</xdr:col>
      <xdr:colOff>27215</xdr:colOff>
      <xdr:row>46</xdr:row>
      <xdr:rowOff>136071</xdr:rowOff>
    </xdr:from>
    <xdr:to>
      <xdr:col>20</xdr:col>
      <xdr:colOff>272143</xdr:colOff>
      <xdr:row>46</xdr:row>
      <xdr:rowOff>163286</xdr:rowOff>
    </xdr:to>
    <xdr:cxnSp macro="">
      <xdr:nvCxnSpPr>
        <xdr:cNvPr id="10" name="Straight Arrow Connector 9">
          <a:extLst>
            <a:ext uri="{FF2B5EF4-FFF2-40B4-BE49-F238E27FC236}">
              <a16:creationId xmlns:a16="http://schemas.microsoft.com/office/drawing/2014/main" id="{00000000-0008-0000-0100-00000A000000}"/>
            </a:ext>
          </a:extLst>
        </xdr:cNvPr>
        <xdr:cNvCxnSpPr/>
      </xdr:nvCxnSpPr>
      <xdr:spPr>
        <a:xfrm>
          <a:off x="7783286" y="8899071"/>
          <a:ext cx="5238750" cy="2721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273326</xdr:colOff>
      <xdr:row>40</xdr:row>
      <xdr:rowOff>24848</xdr:rowOff>
    </xdr:from>
    <xdr:to>
      <xdr:col>20</xdr:col>
      <xdr:colOff>273326</xdr:colOff>
      <xdr:row>57</xdr:row>
      <xdr:rowOff>165651</xdr:rowOff>
    </xdr:to>
    <xdr:cxnSp macro="">
      <xdr:nvCxnSpPr>
        <xdr:cNvPr id="16" name="Straight Connector 15">
          <a:extLst>
            <a:ext uri="{FF2B5EF4-FFF2-40B4-BE49-F238E27FC236}">
              <a16:creationId xmlns:a16="http://schemas.microsoft.com/office/drawing/2014/main" id="{00000000-0008-0000-0100-000010000000}"/>
            </a:ext>
          </a:extLst>
        </xdr:cNvPr>
        <xdr:cNvCxnSpPr/>
      </xdr:nvCxnSpPr>
      <xdr:spPr>
        <a:xfrm>
          <a:off x="13020261" y="7644848"/>
          <a:ext cx="0" cy="3379303"/>
        </a:xfrm>
        <a:prstGeom prst="line">
          <a:avLst/>
        </a:prstGeom>
        <a:ln w="38100">
          <a:solidFill>
            <a:schemeClr val="accent1"/>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273326</xdr:colOff>
      <xdr:row>40</xdr:row>
      <xdr:rowOff>24848</xdr:rowOff>
    </xdr:from>
    <xdr:to>
      <xdr:col>23</xdr:col>
      <xdr:colOff>273326</xdr:colOff>
      <xdr:row>40</xdr:row>
      <xdr:rowOff>41413</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13020261" y="7644848"/>
          <a:ext cx="1838739" cy="16565"/>
        </a:xfrm>
        <a:prstGeom prst="straightConnector1">
          <a:avLst/>
        </a:prstGeom>
        <a:ln w="381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248479</xdr:colOff>
      <xdr:row>56</xdr:row>
      <xdr:rowOff>0</xdr:rowOff>
    </xdr:from>
    <xdr:to>
      <xdr:col>20</xdr:col>
      <xdr:colOff>173935</xdr:colOff>
      <xdr:row>57</xdr:row>
      <xdr:rowOff>132521</xdr:rowOff>
    </xdr:to>
    <xdr:sp macro="" textlink="">
      <xdr:nvSpPr>
        <xdr:cNvPr id="26" name="Rectangle 25">
          <a:extLst>
            <a:ext uri="{FF2B5EF4-FFF2-40B4-BE49-F238E27FC236}">
              <a16:creationId xmlns:a16="http://schemas.microsoft.com/office/drawing/2014/main" id="{00000000-0008-0000-0100-00001A000000}"/>
            </a:ext>
          </a:extLst>
        </xdr:cNvPr>
        <xdr:cNvSpPr/>
      </xdr:nvSpPr>
      <xdr:spPr>
        <a:xfrm>
          <a:off x="12382501" y="10668000"/>
          <a:ext cx="538369" cy="323021"/>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id-ID" sz="1100"/>
            <a:t>2950</a:t>
          </a:r>
        </a:p>
      </xdr:txBody>
    </xdr:sp>
    <xdr:clientData/>
  </xdr:twoCellAnchor>
  <xdr:twoCellAnchor>
    <xdr:from>
      <xdr:col>23</xdr:col>
      <xdr:colOff>313083</xdr:colOff>
      <xdr:row>38</xdr:row>
      <xdr:rowOff>163996</xdr:rowOff>
    </xdr:from>
    <xdr:to>
      <xdr:col>24</xdr:col>
      <xdr:colOff>41413</xdr:colOff>
      <xdr:row>40</xdr:row>
      <xdr:rowOff>106017</xdr:rowOff>
    </xdr:to>
    <xdr:sp macro="" textlink="">
      <xdr:nvSpPr>
        <xdr:cNvPr id="53" name="Rectangle 52">
          <a:extLst>
            <a:ext uri="{FF2B5EF4-FFF2-40B4-BE49-F238E27FC236}">
              <a16:creationId xmlns:a16="http://schemas.microsoft.com/office/drawing/2014/main" id="{00000000-0008-0000-0100-000035000000}"/>
            </a:ext>
          </a:extLst>
        </xdr:cNvPr>
        <xdr:cNvSpPr/>
      </xdr:nvSpPr>
      <xdr:spPr>
        <a:xfrm>
          <a:off x="14898757" y="7402996"/>
          <a:ext cx="341243" cy="323021"/>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id-ID" sz="1100"/>
            <a:t>64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276224</xdr:colOff>
      <xdr:row>15</xdr:row>
      <xdr:rowOff>80962</xdr:rowOff>
    </xdr:from>
    <xdr:to>
      <xdr:col>13</xdr:col>
      <xdr:colOff>200024</xdr:colOff>
      <xdr:row>30</xdr:row>
      <xdr:rowOff>157162</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119440</xdr:colOff>
      <xdr:row>94</xdr:row>
      <xdr:rowOff>21240</xdr:rowOff>
    </xdr:from>
    <xdr:to>
      <xdr:col>14</xdr:col>
      <xdr:colOff>318257</xdr:colOff>
      <xdr:row>110</xdr:row>
      <xdr:rowOff>78994</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412751</xdr:colOff>
      <xdr:row>103</xdr:row>
      <xdr:rowOff>106209</xdr:rowOff>
    </xdr:from>
    <xdr:to>
      <xdr:col>12</xdr:col>
      <xdr:colOff>35681</xdr:colOff>
      <xdr:row>103</xdr:row>
      <xdr:rowOff>106209</xdr:rowOff>
    </xdr:to>
    <xdr:cxnSp macro="">
      <xdr:nvCxnSpPr>
        <xdr:cNvPr id="12" name="Straight Connector 11">
          <a:extLst>
            <a:ext uri="{FF2B5EF4-FFF2-40B4-BE49-F238E27FC236}">
              <a16:creationId xmlns:a16="http://schemas.microsoft.com/office/drawing/2014/main" id="{00000000-0008-0000-0200-00000C000000}"/>
            </a:ext>
          </a:extLst>
        </xdr:cNvPr>
        <xdr:cNvCxnSpPr/>
      </xdr:nvCxnSpPr>
      <xdr:spPr>
        <a:xfrm flipH="1">
          <a:off x="4148668" y="15208626"/>
          <a:ext cx="3369430" cy="0"/>
        </a:xfrm>
        <a:prstGeom prst="line">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33793</xdr:colOff>
      <xdr:row>103</xdr:row>
      <xdr:rowOff>104321</xdr:rowOff>
    </xdr:from>
    <xdr:to>
      <xdr:col>12</xdr:col>
      <xdr:colOff>33793</xdr:colOff>
      <xdr:row>109</xdr:row>
      <xdr:rowOff>27969</xdr:rowOff>
    </xdr:to>
    <xdr:cxnSp macro="">
      <xdr:nvCxnSpPr>
        <xdr:cNvPr id="14" name="Straight Connector 13">
          <a:extLst>
            <a:ext uri="{FF2B5EF4-FFF2-40B4-BE49-F238E27FC236}">
              <a16:creationId xmlns:a16="http://schemas.microsoft.com/office/drawing/2014/main" id="{00000000-0008-0000-0200-00000E000000}"/>
            </a:ext>
          </a:extLst>
        </xdr:cNvPr>
        <xdr:cNvCxnSpPr/>
      </xdr:nvCxnSpPr>
      <xdr:spPr>
        <a:xfrm flipV="1">
          <a:off x="7516210" y="15206738"/>
          <a:ext cx="0" cy="1066648"/>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607029</xdr:colOff>
      <xdr:row>102</xdr:row>
      <xdr:rowOff>142874</xdr:rowOff>
    </xdr:from>
    <xdr:to>
      <xdr:col>6</xdr:col>
      <xdr:colOff>458712</xdr:colOff>
      <xdr:row>104</xdr:row>
      <xdr:rowOff>60474</xdr:rowOff>
    </xdr:to>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3697362" y="15054791"/>
          <a:ext cx="497267" cy="2986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1242</a:t>
          </a:r>
        </a:p>
      </xdr:txBody>
    </xdr:sp>
    <xdr:clientData/>
  </xdr:twoCellAnchor>
  <xdr:twoCellAnchor>
    <xdr:from>
      <xdr:col>11</xdr:col>
      <xdr:colOff>421067</xdr:colOff>
      <xdr:row>109</xdr:row>
      <xdr:rowOff>30236</xdr:rowOff>
    </xdr:from>
    <xdr:to>
      <xdr:col>12</xdr:col>
      <xdr:colOff>285751</xdr:colOff>
      <xdr:row>110</xdr:row>
      <xdr:rowOff>123218</xdr:rowOff>
    </xdr:to>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7289650" y="16275653"/>
          <a:ext cx="478518" cy="28348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2473</a:t>
          </a:r>
        </a:p>
      </xdr:txBody>
    </xdr:sp>
    <xdr:clientData/>
  </xdr:twoCellAnchor>
  <xdr:twoCellAnchor>
    <xdr:from>
      <xdr:col>5</xdr:col>
      <xdr:colOff>209891</xdr:colOff>
      <xdr:row>3</xdr:row>
      <xdr:rowOff>2078</xdr:rowOff>
    </xdr:from>
    <xdr:to>
      <xdr:col>14</xdr:col>
      <xdr:colOff>212611</xdr:colOff>
      <xdr:row>45</xdr:row>
      <xdr:rowOff>2015</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450737</xdr:colOff>
      <xdr:row>45</xdr:row>
      <xdr:rowOff>17008</xdr:rowOff>
    </xdr:from>
    <xdr:to>
      <xdr:col>23</xdr:col>
      <xdr:colOff>59532</xdr:colOff>
      <xdr:row>60</xdr:row>
      <xdr:rowOff>85044</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9763125" y="3946071"/>
          <a:ext cx="4719978" cy="2874509"/>
        </a:xfrm>
        <a:prstGeom prst="rect">
          <a:avLst/>
        </a:prstGeom>
      </xdr:spPr>
      <xdr:style>
        <a:lnRef idx="2">
          <a:schemeClr val="accent1">
            <a:shade val="50000"/>
          </a:schemeClr>
        </a:lnRef>
        <a:fillRef idx="1001">
          <a:schemeClr val="lt1"/>
        </a:fillRef>
        <a:effectRef idx="0">
          <a:schemeClr val="accent1"/>
        </a:effectRef>
        <a:fontRef idx="minor">
          <a:schemeClr val="lt1"/>
        </a:fontRef>
      </xdr:style>
      <xdr:txBody>
        <a:bodyPr vertOverflow="clip" horzOverflow="clip" rtlCol="0" anchor="t"/>
        <a:lstStyle/>
        <a:p>
          <a:pPr algn="l"/>
          <a:endParaRPr lang="id-ID" sz="1100"/>
        </a:p>
      </xdr:txBody>
    </xdr:sp>
    <xdr:clientData/>
  </xdr:twoCellAnchor>
  <xdr:twoCellAnchor>
    <xdr:from>
      <xdr:col>10</xdr:col>
      <xdr:colOff>520473</xdr:colOff>
      <xdr:row>12</xdr:row>
      <xdr:rowOff>25513</xdr:rowOff>
    </xdr:from>
    <xdr:to>
      <xdr:col>10</xdr:col>
      <xdr:colOff>520473</xdr:colOff>
      <xdr:row>40</xdr:row>
      <xdr:rowOff>76541</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flipV="1">
          <a:off x="6735536" y="2311513"/>
          <a:ext cx="0" cy="813028"/>
        </a:xfrm>
        <a:prstGeom prst="straightConnector1">
          <a:avLst/>
        </a:prstGeom>
        <a:ln w="3810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203638</xdr:colOff>
      <xdr:row>12</xdr:row>
      <xdr:rowOff>39414</xdr:rowOff>
    </xdr:from>
    <xdr:to>
      <xdr:col>10</xdr:col>
      <xdr:colOff>512381</xdr:colOff>
      <xdr:row>12</xdr:row>
      <xdr:rowOff>45983</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flipH="1" flipV="1">
          <a:off x="3934810" y="2325414"/>
          <a:ext cx="2818088" cy="656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285748</xdr:colOff>
      <xdr:row>12</xdr:row>
      <xdr:rowOff>113108</xdr:rowOff>
    </xdr:from>
    <xdr:to>
      <xdr:col>7</xdr:col>
      <xdr:colOff>482203</xdr:colOff>
      <xdr:row>13</xdr:row>
      <xdr:rowOff>166687</xdr:rowOff>
    </xdr:to>
    <xdr:sp macro="" textlink="">
      <xdr:nvSpPr>
        <xdr:cNvPr id="10" name="Rectangle 9">
          <a:extLst>
            <a:ext uri="{FF2B5EF4-FFF2-40B4-BE49-F238E27FC236}">
              <a16:creationId xmlns:a16="http://schemas.microsoft.com/office/drawing/2014/main" id="{00000000-0008-0000-0200-00000A000000}"/>
            </a:ext>
          </a:extLst>
        </xdr:cNvPr>
        <xdr:cNvSpPr/>
      </xdr:nvSpPr>
      <xdr:spPr>
        <a:xfrm>
          <a:off x="4000498" y="2399108"/>
          <a:ext cx="875111" cy="244079"/>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id-ID" sz="1100"/>
            <a:t>Pwf = 992,7</a:t>
          </a:r>
        </a:p>
      </xdr:txBody>
    </xdr:sp>
    <xdr:clientData/>
  </xdr:twoCellAnchor>
  <xdr:twoCellAnchor>
    <xdr:from>
      <xdr:col>8</xdr:col>
      <xdr:colOff>565548</xdr:colOff>
      <xdr:row>14</xdr:row>
      <xdr:rowOff>176212</xdr:rowOff>
    </xdr:from>
    <xdr:to>
      <xdr:col>10</xdr:col>
      <xdr:colOff>456010</xdr:colOff>
      <xdr:row>40</xdr:row>
      <xdr:rowOff>53578</xdr:rowOff>
    </xdr:to>
    <xdr:sp macro="" textlink="">
      <xdr:nvSpPr>
        <xdr:cNvPr id="32" name="Rectangle 31">
          <a:extLst>
            <a:ext uri="{FF2B5EF4-FFF2-40B4-BE49-F238E27FC236}">
              <a16:creationId xmlns:a16="http://schemas.microsoft.com/office/drawing/2014/main" id="{00000000-0008-0000-0200-000020000000}"/>
            </a:ext>
          </a:extLst>
        </xdr:cNvPr>
        <xdr:cNvSpPr/>
      </xdr:nvSpPr>
      <xdr:spPr>
        <a:xfrm>
          <a:off x="5566173" y="2843212"/>
          <a:ext cx="1104900" cy="258366"/>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id-ID" sz="1100"/>
            <a:t>Q Target = 6029</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76</xdr:row>
      <xdr:rowOff>9525</xdr:rowOff>
    </xdr:from>
    <xdr:to>
      <xdr:col>6</xdr:col>
      <xdr:colOff>133350</xdr:colOff>
      <xdr:row>101</xdr:row>
      <xdr:rowOff>142875</xdr:rowOff>
    </xdr:to>
    <xdr:pic>
      <xdr:nvPicPr>
        <xdr:cNvPr id="3" name="Picture 2" descr="Scan2000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4125575"/>
          <a:ext cx="621030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103</xdr:row>
      <xdr:rowOff>123825</xdr:rowOff>
    </xdr:from>
    <xdr:to>
      <xdr:col>6</xdr:col>
      <xdr:colOff>95250</xdr:colOff>
      <xdr:row>129</xdr:row>
      <xdr:rowOff>66675</xdr:rowOff>
    </xdr:to>
    <xdr:pic>
      <xdr:nvPicPr>
        <xdr:cNvPr id="4" name="Picture 3" descr="Scan2000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69025"/>
          <a:ext cx="6181725" cy="440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43</xdr:row>
      <xdr:rowOff>19050</xdr:rowOff>
    </xdr:from>
    <xdr:to>
      <xdr:col>5</xdr:col>
      <xdr:colOff>1219200</xdr:colOff>
      <xdr:row>65</xdr:row>
      <xdr:rowOff>114300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8467725"/>
          <a:ext cx="7429500"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49</xdr:row>
      <xdr:rowOff>76200</xdr:rowOff>
    </xdr:from>
    <xdr:to>
      <xdr:col>0</xdr:col>
      <xdr:colOff>571500</xdr:colOff>
      <xdr:row>50</xdr:row>
      <xdr:rowOff>123825</xdr:rowOff>
    </xdr:to>
    <xdr:sp macro="" textlink="">
      <xdr:nvSpPr>
        <xdr:cNvPr id="4" name="Text Box 3">
          <a:extLst>
            <a:ext uri="{FF2B5EF4-FFF2-40B4-BE49-F238E27FC236}">
              <a16:creationId xmlns:a16="http://schemas.microsoft.com/office/drawing/2014/main" id="{00000000-0008-0000-0400-000004000000}"/>
            </a:ext>
          </a:extLst>
        </xdr:cNvPr>
        <xdr:cNvSpPr txBox="1">
          <a:spLocks noChangeAspect="1" noChangeArrowheads="1"/>
        </xdr:cNvSpPr>
      </xdr:nvSpPr>
      <xdr:spPr bwMode="auto">
        <a:xfrm>
          <a:off x="104775" y="9667875"/>
          <a:ext cx="4667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0" rIns="0" bIns="0" anchor="t" upright="1"/>
        <a:lstStyle/>
        <a:p>
          <a:pPr algn="ctr" rtl="0">
            <a:defRPr sz="1000"/>
          </a:pPr>
          <a:endParaRPr lang="en-US"/>
        </a:p>
      </xdr:txBody>
    </xdr:sp>
    <xdr:clientData/>
  </xdr:twoCellAnchor>
  <xdr:twoCellAnchor>
    <xdr:from>
      <xdr:col>7</xdr:col>
      <xdr:colOff>66675</xdr:colOff>
      <xdr:row>7</xdr:row>
      <xdr:rowOff>142875</xdr:rowOff>
    </xdr:from>
    <xdr:to>
      <xdr:col>17</xdr:col>
      <xdr:colOff>76200</xdr:colOff>
      <xdr:row>49</xdr:row>
      <xdr:rowOff>104775</xdr:rowOff>
    </xdr:to>
    <xdr:pic>
      <xdr:nvPicPr>
        <xdr:cNvPr id="5" name="Picture 15" descr="auto0">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29700" y="1400175"/>
          <a:ext cx="6867525" cy="8296275"/>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583406</xdr:colOff>
      <xdr:row>26</xdr:row>
      <xdr:rowOff>83344</xdr:rowOff>
    </xdr:from>
    <xdr:to>
      <xdr:col>13</xdr:col>
      <xdr:colOff>209550</xdr:colOff>
      <xdr:row>26</xdr:row>
      <xdr:rowOff>95250</xdr:rowOff>
    </xdr:to>
    <xdr:sp macro="" textlink="">
      <xdr:nvSpPr>
        <xdr:cNvPr id="6" name="Line 16">
          <a:extLst>
            <a:ext uri="{FF2B5EF4-FFF2-40B4-BE49-F238E27FC236}">
              <a16:creationId xmlns:a16="http://schemas.microsoft.com/office/drawing/2014/main" id="{00000000-0008-0000-0400-000006000000}"/>
            </a:ext>
          </a:extLst>
        </xdr:cNvPr>
        <xdr:cNvSpPr>
          <a:spLocks noChangeShapeType="1"/>
        </xdr:cNvSpPr>
      </xdr:nvSpPr>
      <xdr:spPr bwMode="auto">
        <a:xfrm flipH="1" flipV="1">
          <a:off x="10132219" y="5191125"/>
          <a:ext cx="3555206" cy="11906"/>
        </a:xfrm>
        <a:prstGeom prst="line">
          <a:avLst/>
        </a:prstGeom>
        <a:noFill/>
        <a:ln w="38100">
          <a:solidFill>
            <a:srgbClr xmlns:mc="http://schemas.openxmlformats.org/markup-compatibility/2006" xmlns:a14="http://schemas.microsoft.com/office/drawing/2010/main" val="FF0000" mc:Ignorable="a14" a14:legacySpreadsheetColorIndex="1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85725</xdr:colOff>
      <xdr:row>49</xdr:row>
      <xdr:rowOff>152400</xdr:rowOff>
    </xdr:from>
    <xdr:to>
      <xdr:col>0</xdr:col>
      <xdr:colOff>552450</xdr:colOff>
      <xdr:row>50</xdr:row>
      <xdr:rowOff>171450</xdr:rowOff>
    </xdr:to>
    <xdr:sp macro="" textlink="">
      <xdr:nvSpPr>
        <xdr:cNvPr id="7" name="Text Box 57">
          <a:extLst>
            <a:ext uri="{FF2B5EF4-FFF2-40B4-BE49-F238E27FC236}">
              <a16:creationId xmlns:a16="http://schemas.microsoft.com/office/drawing/2014/main" id="{00000000-0008-0000-0400-000007000000}"/>
            </a:ext>
          </a:extLst>
        </xdr:cNvPr>
        <xdr:cNvSpPr txBox="1">
          <a:spLocks noChangeAspect="1" noChangeArrowheads="1"/>
        </xdr:cNvSpPr>
      </xdr:nvSpPr>
      <xdr:spPr bwMode="auto">
        <a:xfrm>
          <a:off x="85725" y="9744075"/>
          <a:ext cx="466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0" rIns="0" bIns="0" anchor="t" upright="1"/>
        <a:lstStyle/>
        <a:p>
          <a:pPr algn="ctr" rtl="0">
            <a:defRPr sz="1000"/>
          </a:pPr>
          <a:endParaRPr lang="en-US"/>
        </a:p>
      </xdr:txBody>
    </xdr:sp>
    <xdr:clientData/>
  </xdr:twoCellAnchor>
  <xdr:twoCellAnchor>
    <xdr:from>
      <xdr:col>13</xdr:col>
      <xdr:colOff>114300</xdr:colOff>
      <xdr:row>26</xdr:row>
      <xdr:rowOff>95250</xdr:rowOff>
    </xdr:from>
    <xdr:to>
      <xdr:col>13</xdr:col>
      <xdr:colOff>142875</xdr:colOff>
      <xdr:row>41</xdr:row>
      <xdr:rowOff>57150</xdr:rowOff>
    </xdr:to>
    <xdr:sp macro="" textlink="">
      <xdr:nvSpPr>
        <xdr:cNvPr id="8" name="Line 93">
          <a:extLst>
            <a:ext uri="{FF2B5EF4-FFF2-40B4-BE49-F238E27FC236}">
              <a16:creationId xmlns:a16="http://schemas.microsoft.com/office/drawing/2014/main" id="{00000000-0008-0000-0400-000008000000}"/>
            </a:ext>
          </a:extLst>
        </xdr:cNvPr>
        <xdr:cNvSpPr>
          <a:spLocks noChangeShapeType="1"/>
        </xdr:cNvSpPr>
      </xdr:nvSpPr>
      <xdr:spPr bwMode="auto">
        <a:xfrm flipV="1">
          <a:off x="13592175" y="5203031"/>
          <a:ext cx="28575" cy="2986088"/>
        </a:xfrm>
        <a:prstGeom prst="line">
          <a:avLst/>
        </a:prstGeom>
        <a:noFill/>
        <a:ln w="38100">
          <a:solidFill>
            <a:srgbClr xmlns:mc="http://schemas.openxmlformats.org/markup-compatibility/2006" xmlns:a14="http://schemas.microsoft.com/office/drawing/2010/main" val="FF0000" mc:Ignorable="a14" a14:legacySpreadsheetColorIndex="1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35718</xdr:colOff>
      <xdr:row>46</xdr:row>
      <xdr:rowOff>59531</xdr:rowOff>
    </xdr:from>
    <xdr:to>
      <xdr:col>4</xdr:col>
      <xdr:colOff>59531</xdr:colOff>
      <xdr:row>62</xdr:row>
      <xdr:rowOff>59531</xdr:rowOff>
    </xdr:to>
    <xdr:sp macro="" textlink="">
      <xdr:nvSpPr>
        <xdr:cNvPr id="9" name="Line 98">
          <a:extLst>
            <a:ext uri="{FF2B5EF4-FFF2-40B4-BE49-F238E27FC236}">
              <a16:creationId xmlns:a16="http://schemas.microsoft.com/office/drawing/2014/main" id="{00000000-0008-0000-0400-000009000000}"/>
            </a:ext>
          </a:extLst>
        </xdr:cNvPr>
        <xdr:cNvSpPr>
          <a:spLocks noChangeShapeType="1"/>
        </xdr:cNvSpPr>
      </xdr:nvSpPr>
      <xdr:spPr bwMode="auto">
        <a:xfrm flipV="1">
          <a:off x="4833937" y="9167812"/>
          <a:ext cx="23813" cy="3048000"/>
        </a:xfrm>
        <a:prstGeom prst="line">
          <a:avLst/>
        </a:prstGeom>
        <a:ln>
          <a:solidFill>
            <a:srgbClr val="FF0000"/>
          </a:solidFill>
          <a:headEnd/>
          <a:tailEnd type="triangle" w="med" len="med"/>
        </a:ln>
      </xdr:spPr>
      <xdr:style>
        <a:lnRef idx="2">
          <a:schemeClr val="accent2"/>
        </a:lnRef>
        <a:fillRef idx="0">
          <a:schemeClr val="accent2"/>
        </a:fillRef>
        <a:effectRef idx="1">
          <a:schemeClr val="accent2"/>
        </a:effectRef>
        <a:fontRef idx="minor">
          <a:schemeClr val="tx1"/>
        </a:fontRef>
      </xdr:style>
      <xdr:txBody>
        <a:bodyPr/>
        <a:lstStyle/>
        <a:p>
          <a:endParaRPr lang="id-ID"/>
        </a:p>
      </xdr:txBody>
    </xdr:sp>
    <xdr:clientData/>
  </xdr:twoCellAnchor>
  <xdr:twoCellAnchor>
    <xdr:from>
      <xdr:col>0</xdr:col>
      <xdr:colOff>583405</xdr:colOff>
      <xdr:row>53</xdr:row>
      <xdr:rowOff>119063</xdr:rowOff>
    </xdr:from>
    <xdr:to>
      <xdr:col>4</xdr:col>
      <xdr:colOff>47623</xdr:colOff>
      <xdr:row>53</xdr:row>
      <xdr:rowOff>119063</xdr:rowOff>
    </xdr:to>
    <xdr:sp macro="" textlink="">
      <xdr:nvSpPr>
        <xdr:cNvPr id="10" name="Line 100">
          <a:extLst>
            <a:ext uri="{FF2B5EF4-FFF2-40B4-BE49-F238E27FC236}">
              <a16:creationId xmlns:a16="http://schemas.microsoft.com/office/drawing/2014/main" id="{00000000-0008-0000-0400-00000A000000}"/>
            </a:ext>
          </a:extLst>
        </xdr:cNvPr>
        <xdr:cNvSpPr>
          <a:spLocks noChangeShapeType="1"/>
        </xdr:cNvSpPr>
      </xdr:nvSpPr>
      <xdr:spPr bwMode="auto">
        <a:xfrm flipH="1" flipV="1">
          <a:off x="583405" y="10560844"/>
          <a:ext cx="4262437" cy="0"/>
        </a:xfrm>
        <a:prstGeom prst="line">
          <a:avLst/>
        </a:prstGeom>
        <a:noFill/>
        <a:ln w="31750">
          <a:solidFill>
            <a:srgbClr xmlns:mc="http://schemas.openxmlformats.org/markup-compatibility/2006" xmlns:a14="http://schemas.microsoft.com/office/drawing/2010/main" val="FF0000" mc:Ignorable="a14" a14:legacySpreadsheetColorIndex="1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23812</xdr:colOff>
      <xdr:row>56</xdr:row>
      <xdr:rowOff>178593</xdr:rowOff>
    </xdr:from>
    <xdr:to>
      <xdr:col>5</xdr:col>
      <xdr:colOff>488156</xdr:colOff>
      <xdr:row>56</xdr:row>
      <xdr:rowOff>190498</xdr:rowOff>
    </xdr:to>
    <xdr:sp macro="" textlink="">
      <xdr:nvSpPr>
        <xdr:cNvPr id="11" name="Line 101">
          <a:extLst>
            <a:ext uri="{FF2B5EF4-FFF2-40B4-BE49-F238E27FC236}">
              <a16:creationId xmlns:a16="http://schemas.microsoft.com/office/drawing/2014/main" id="{00000000-0008-0000-0400-00000B000000}"/>
            </a:ext>
          </a:extLst>
        </xdr:cNvPr>
        <xdr:cNvSpPr>
          <a:spLocks noChangeShapeType="1"/>
        </xdr:cNvSpPr>
      </xdr:nvSpPr>
      <xdr:spPr bwMode="auto">
        <a:xfrm flipV="1">
          <a:off x="4822031" y="11191874"/>
          <a:ext cx="2119313" cy="1190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11906</xdr:colOff>
      <xdr:row>46</xdr:row>
      <xdr:rowOff>59531</xdr:rowOff>
    </xdr:from>
    <xdr:to>
      <xdr:col>5</xdr:col>
      <xdr:colOff>511969</xdr:colOff>
      <xdr:row>46</xdr:row>
      <xdr:rowOff>83343</xdr:rowOff>
    </xdr:to>
    <xdr:sp macro="" textlink="">
      <xdr:nvSpPr>
        <xdr:cNvPr id="12" name="Line 100">
          <a:extLst>
            <a:ext uri="{FF2B5EF4-FFF2-40B4-BE49-F238E27FC236}">
              <a16:creationId xmlns:a16="http://schemas.microsoft.com/office/drawing/2014/main" id="{00000000-0008-0000-0400-00000C000000}"/>
            </a:ext>
          </a:extLst>
        </xdr:cNvPr>
        <xdr:cNvSpPr>
          <a:spLocks noChangeShapeType="1"/>
        </xdr:cNvSpPr>
      </xdr:nvSpPr>
      <xdr:spPr bwMode="auto">
        <a:xfrm flipV="1">
          <a:off x="4810125" y="9167812"/>
          <a:ext cx="2155032" cy="23812"/>
        </a:xfrm>
        <a:prstGeom prst="line">
          <a:avLst/>
        </a:prstGeom>
        <a:noFill/>
        <a:ln w="31750">
          <a:solidFill>
            <a:srgbClr xmlns:mc="http://schemas.openxmlformats.org/markup-compatibility/2006" xmlns:a14="http://schemas.microsoft.com/office/drawing/2010/main" val="FF0000" mc:Ignorable="a14" a14:legacySpreadsheetColorIndex="1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583406</xdr:colOff>
      <xdr:row>46</xdr:row>
      <xdr:rowOff>11907</xdr:rowOff>
    </xdr:from>
    <xdr:to>
      <xdr:col>5</xdr:col>
      <xdr:colOff>1012031</xdr:colOff>
      <xdr:row>47</xdr:row>
      <xdr:rowOff>83345</xdr:rowOff>
    </xdr:to>
    <xdr:sp macro="" textlink="">
      <xdr:nvSpPr>
        <xdr:cNvPr id="14" name="Rectangle 13">
          <a:extLst>
            <a:ext uri="{FF2B5EF4-FFF2-40B4-BE49-F238E27FC236}">
              <a16:creationId xmlns:a16="http://schemas.microsoft.com/office/drawing/2014/main" id="{00000000-0008-0000-0400-00000E000000}"/>
            </a:ext>
          </a:extLst>
        </xdr:cNvPr>
        <xdr:cNvSpPr/>
      </xdr:nvSpPr>
      <xdr:spPr>
        <a:xfrm>
          <a:off x="7036594" y="9120188"/>
          <a:ext cx="428625" cy="261938"/>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id-ID" sz="1100"/>
            <a:t>72%</a:t>
          </a:r>
        </a:p>
      </xdr:txBody>
    </xdr:sp>
    <xdr:clientData/>
  </xdr:twoCellAnchor>
  <xdr:twoCellAnchor>
    <xdr:from>
      <xdr:col>5</xdr:col>
      <xdr:colOff>545308</xdr:colOff>
      <xdr:row>56</xdr:row>
      <xdr:rowOff>45244</xdr:rowOff>
    </xdr:from>
    <xdr:to>
      <xdr:col>5</xdr:col>
      <xdr:colOff>940594</xdr:colOff>
      <xdr:row>57</xdr:row>
      <xdr:rowOff>119064</xdr:rowOff>
    </xdr:to>
    <xdr:sp macro="" textlink="">
      <xdr:nvSpPr>
        <xdr:cNvPr id="15" name="Rectangle 14">
          <a:extLst>
            <a:ext uri="{FF2B5EF4-FFF2-40B4-BE49-F238E27FC236}">
              <a16:creationId xmlns:a16="http://schemas.microsoft.com/office/drawing/2014/main" id="{00000000-0008-0000-0400-00000F000000}"/>
            </a:ext>
          </a:extLst>
        </xdr:cNvPr>
        <xdr:cNvSpPr/>
      </xdr:nvSpPr>
      <xdr:spPr>
        <a:xfrm>
          <a:off x="6998496" y="11058525"/>
          <a:ext cx="395286" cy="26432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id-ID" sz="1100"/>
            <a:t>1,6</a:t>
          </a:r>
        </a:p>
      </xdr:txBody>
    </xdr:sp>
    <xdr:clientData/>
  </xdr:twoCellAnchor>
  <xdr:twoCellAnchor>
    <xdr:from>
      <xdr:col>3</xdr:col>
      <xdr:colOff>638174</xdr:colOff>
      <xdr:row>60</xdr:row>
      <xdr:rowOff>126208</xdr:rowOff>
    </xdr:from>
    <xdr:to>
      <xdr:col>3</xdr:col>
      <xdr:colOff>1131091</xdr:colOff>
      <xdr:row>62</xdr:row>
      <xdr:rowOff>0</xdr:rowOff>
    </xdr:to>
    <xdr:sp macro="" textlink="">
      <xdr:nvSpPr>
        <xdr:cNvPr id="16" name="Rectangle 15">
          <a:extLst>
            <a:ext uri="{FF2B5EF4-FFF2-40B4-BE49-F238E27FC236}">
              <a16:creationId xmlns:a16="http://schemas.microsoft.com/office/drawing/2014/main" id="{00000000-0008-0000-0400-000010000000}"/>
            </a:ext>
          </a:extLst>
        </xdr:cNvPr>
        <xdr:cNvSpPr/>
      </xdr:nvSpPr>
      <xdr:spPr>
        <a:xfrm>
          <a:off x="4281487" y="11901489"/>
          <a:ext cx="492917" cy="254792"/>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id-ID" sz="1100"/>
            <a:t>6000</a:t>
          </a:r>
        </a:p>
      </xdr:txBody>
    </xdr:sp>
    <xdr:clientData/>
  </xdr:twoCellAnchor>
  <xdr:twoCellAnchor>
    <xdr:from>
      <xdr:col>0</xdr:col>
      <xdr:colOff>178594</xdr:colOff>
      <xdr:row>52</xdr:row>
      <xdr:rowOff>183357</xdr:rowOff>
    </xdr:from>
    <xdr:to>
      <xdr:col>0</xdr:col>
      <xdr:colOff>535781</xdr:colOff>
      <xdr:row>54</xdr:row>
      <xdr:rowOff>59532</xdr:rowOff>
    </xdr:to>
    <xdr:sp macro="" textlink="">
      <xdr:nvSpPr>
        <xdr:cNvPr id="17" name="Rectangle 16">
          <a:extLst>
            <a:ext uri="{FF2B5EF4-FFF2-40B4-BE49-F238E27FC236}">
              <a16:creationId xmlns:a16="http://schemas.microsoft.com/office/drawing/2014/main" id="{00000000-0008-0000-0400-000011000000}"/>
            </a:ext>
          </a:extLst>
        </xdr:cNvPr>
        <xdr:cNvSpPr/>
      </xdr:nvSpPr>
      <xdr:spPr>
        <a:xfrm>
          <a:off x="178594" y="10434638"/>
          <a:ext cx="357187" cy="25717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id-ID" sz="1100"/>
            <a:t>26</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71437</xdr:colOff>
      <xdr:row>29</xdr:row>
      <xdr:rowOff>52387</xdr:rowOff>
    </xdr:from>
    <xdr:ext cx="2890838" cy="1952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290637" y="5195887"/>
              <a:ext cx="2890838" cy="1952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d>
                    <m:dPr>
                      <m:ctrlPr>
                        <a:rPr lang="en-ID" sz="1050" b="0" i="1">
                          <a:latin typeface="Cambria Math" panose="02040503050406030204" pitchFamily="18" charset="0"/>
                        </a:rPr>
                      </m:ctrlPr>
                    </m:dPr>
                    <m:e>
                      <m:r>
                        <a:rPr lang="en-ID" sz="1050" b="0" i="1">
                          <a:latin typeface="Cambria Math" panose="02040503050406030204" pitchFamily="18" charset="0"/>
                        </a:rPr>
                        <m:t>350</m:t>
                      </m:r>
                      <m:r>
                        <a:rPr lang="en-ID" sz="1050" b="0" i="1">
                          <a:latin typeface="Cambria Math" panose="02040503050406030204" pitchFamily="18" charset="0"/>
                          <a:ea typeface="Cambria Math" panose="02040503050406030204" pitchFamily="18" charset="0"/>
                        </a:rPr>
                        <m:t>×</m:t>
                      </m:r>
                      <m:r>
                        <a:rPr lang="en-ID" sz="1050" b="0" i="1">
                          <a:latin typeface="Cambria Math" panose="02040503050406030204" pitchFamily="18" charset="0"/>
                          <a:ea typeface="Cambria Math" panose="02040503050406030204" pitchFamily="18" charset="0"/>
                        </a:rPr>
                        <m:t>𝑊𝐶</m:t>
                      </m:r>
                      <m:r>
                        <a:rPr lang="en-ID" sz="1050" b="0" i="1">
                          <a:latin typeface="Cambria Math" panose="02040503050406030204" pitchFamily="18" charset="0"/>
                          <a:ea typeface="Cambria Math" panose="02040503050406030204" pitchFamily="18" charset="0"/>
                        </a:rPr>
                        <m:t>×</m:t>
                      </m:r>
                      <m:r>
                        <a:rPr lang="en-ID" sz="1050" b="0" i="1">
                          <a:latin typeface="Cambria Math" panose="02040503050406030204" pitchFamily="18" charset="0"/>
                          <a:ea typeface="Cambria Math" panose="02040503050406030204" pitchFamily="18" charset="0"/>
                        </a:rPr>
                        <m:t>𝑆𝐺𝑤</m:t>
                      </m:r>
                    </m:e>
                  </m:d>
                  <m:r>
                    <a:rPr lang="en-ID" sz="1050" b="0" i="1">
                      <a:latin typeface="Cambria Math" panose="02040503050406030204" pitchFamily="18" charset="0"/>
                      <a:ea typeface="Cambria Math" panose="02040503050406030204" pitchFamily="18" charset="0"/>
                    </a:rPr>
                    <m:t>+</m:t>
                  </m:r>
                  <m:d>
                    <m:dPr>
                      <m:ctrlPr>
                        <a:rPr lang="en-ID" sz="1050" b="0" i="1">
                          <a:latin typeface="Cambria Math" panose="02040503050406030204" pitchFamily="18" charset="0"/>
                          <a:ea typeface="Cambria Math" panose="02040503050406030204" pitchFamily="18" charset="0"/>
                        </a:rPr>
                      </m:ctrlPr>
                    </m:dPr>
                    <m:e>
                      <m:r>
                        <a:rPr lang="en-ID" sz="1050" b="0" i="1">
                          <a:latin typeface="Cambria Math" panose="02040503050406030204" pitchFamily="18" charset="0"/>
                          <a:ea typeface="Cambria Math" panose="02040503050406030204" pitchFamily="18" charset="0"/>
                        </a:rPr>
                        <m:t>350×</m:t>
                      </m:r>
                      <m:d>
                        <m:dPr>
                          <m:ctrlPr>
                            <a:rPr lang="en-ID" sz="1050" b="0" i="1">
                              <a:latin typeface="Cambria Math" panose="02040503050406030204" pitchFamily="18" charset="0"/>
                              <a:ea typeface="Cambria Math" panose="02040503050406030204" pitchFamily="18" charset="0"/>
                            </a:rPr>
                          </m:ctrlPr>
                        </m:dPr>
                        <m:e>
                          <m:r>
                            <a:rPr lang="en-ID" sz="1050" b="0" i="1">
                              <a:latin typeface="Cambria Math" panose="02040503050406030204" pitchFamily="18" charset="0"/>
                              <a:ea typeface="Cambria Math" panose="02040503050406030204" pitchFamily="18" charset="0"/>
                            </a:rPr>
                            <m:t>1−</m:t>
                          </m:r>
                          <m:r>
                            <a:rPr lang="en-ID" sz="1050" b="0" i="1">
                              <a:latin typeface="Cambria Math" panose="02040503050406030204" pitchFamily="18" charset="0"/>
                              <a:ea typeface="Cambria Math" panose="02040503050406030204" pitchFamily="18" charset="0"/>
                            </a:rPr>
                            <m:t>𝑊𝐶</m:t>
                          </m:r>
                        </m:e>
                      </m:d>
                      <m:r>
                        <a:rPr lang="en-ID" sz="1050" b="0" i="1">
                          <a:latin typeface="Cambria Math" panose="02040503050406030204" pitchFamily="18" charset="0"/>
                          <a:ea typeface="Cambria Math" panose="02040503050406030204" pitchFamily="18" charset="0"/>
                        </a:rPr>
                        <m:t>×</m:t>
                      </m:r>
                      <m:r>
                        <a:rPr lang="en-ID" sz="1050" b="0" i="1">
                          <a:latin typeface="Cambria Math" panose="02040503050406030204" pitchFamily="18" charset="0"/>
                          <a:ea typeface="Cambria Math" panose="02040503050406030204" pitchFamily="18" charset="0"/>
                        </a:rPr>
                        <m:t>𝑆𝐺𝑜</m:t>
                      </m:r>
                    </m:e>
                  </m:d>
                </m:oMath>
              </a14:m>
              <a:r>
                <a:rPr lang="id-ID" sz="1050" b="0">
                  <a:ea typeface="Cambria Math" panose="02040503050406030204" pitchFamily="18" charset="0"/>
                </a:rPr>
                <a:t>xGf</a:t>
              </a:r>
              <a:endParaRPr lang="en-ID" sz="1050" b="0">
                <a:ea typeface="Cambria Math" panose="02040503050406030204" pitchFamily="18" charset="0"/>
              </a:endParaRPr>
            </a:p>
            <a:p>
              <a:endParaRPr lang="en-ID" sz="1050"/>
            </a:p>
          </xdr:txBody>
        </xdr:sp>
      </mc:Choice>
      <mc:Fallback xmlns="">
        <xdr:sp macro="" textlink="">
          <xdr:nvSpPr>
            <xdr:cNvPr id="2" name="TextBox 1">
              <a:extLst>
                <a:ext uri="{FF2B5EF4-FFF2-40B4-BE49-F238E27FC236}">
                  <a16:creationId xmlns="" xmlns:a16="http://schemas.microsoft.com/office/drawing/2014/main" xmlns:a14="http://schemas.microsoft.com/office/drawing/2010/main" id="{00000000-0008-0000-0300-000002000000}"/>
                </a:ext>
              </a:extLst>
            </xdr:cNvPr>
            <xdr:cNvSpPr txBox="1"/>
          </xdr:nvSpPr>
          <xdr:spPr>
            <a:xfrm>
              <a:off x="1290637" y="5195887"/>
              <a:ext cx="2890838" cy="1952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ID" sz="1050" b="0" i="0">
                  <a:latin typeface="Cambria Math" panose="02040503050406030204" pitchFamily="18" charset="0"/>
                </a:rPr>
                <a:t>(350</a:t>
              </a:r>
              <a:r>
                <a:rPr lang="en-ID" sz="1050" b="0" i="0">
                  <a:latin typeface="Cambria Math" panose="02040503050406030204" pitchFamily="18" charset="0"/>
                  <a:ea typeface="Cambria Math" panose="02040503050406030204" pitchFamily="18" charset="0"/>
                </a:rPr>
                <a:t>×𝑊𝐶×𝑆𝐺𝑤)+(350×(1−𝑊𝐶)×𝑆𝐺𝑜)</a:t>
              </a:r>
              <a:r>
                <a:rPr lang="id-ID" sz="1050" b="0">
                  <a:ea typeface="Cambria Math" panose="02040503050406030204" pitchFamily="18" charset="0"/>
                </a:rPr>
                <a:t>xGf</a:t>
              </a:r>
              <a:endParaRPr lang="en-ID" sz="1050" b="0">
                <a:ea typeface="Cambria Math" panose="02040503050406030204" pitchFamily="18" charset="0"/>
              </a:endParaRPr>
            </a:p>
            <a:p>
              <a:endParaRPr lang="en-ID" sz="1050"/>
            </a:p>
          </xdr:txBody>
        </xdr:sp>
      </mc:Fallback>
    </mc:AlternateContent>
    <xdr:clientData/>
  </xdr:oneCellAnchor>
  <xdr:twoCellAnchor>
    <xdr:from>
      <xdr:col>7</xdr:col>
      <xdr:colOff>5538</xdr:colOff>
      <xdr:row>44</xdr:row>
      <xdr:rowOff>0</xdr:rowOff>
    </xdr:from>
    <xdr:to>
      <xdr:col>16</xdr:col>
      <xdr:colOff>109488</xdr:colOff>
      <xdr:row>62</xdr:row>
      <xdr:rowOff>83621</xdr:rowOff>
    </xdr:to>
    <xdr:graphicFrame macro="">
      <xdr:nvGraphicFramePr>
        <xdr:cNvPr id="57" name="Chart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301438</xdr:colOff>
      <xdr:row>54</xdr:row>
      <xdr:rowOff>78396</xdr:rowOff>
    </xdr:from>
    <xdr:to>
      <xdr:col>11</xdr:col>
      <xdr:colOff>315641</xdr:colOff>
      <xdr:row>59</xdr:row>
      <xdr:rowOff>164726</xdr:rowOff>
    </xdr:to>
    <xdr:cxnSp macro="">
      <xdr:nvCxnSpPr>
        <xdr:cNvPr id="58" name="Straight Connector 57">
          <a:extLst>
            <a:ext uri="{FF2B5EF4-FFF2-40B4-BE49-F238E27FC236}">
              <a16:creationId xmlns:a16="http://schemas.microsoft.com/office/drawing/2014/main" id="{00000000-0008-0000-0500-00003A000000}"/>
            </a:ext>
          </a:extLst>
        </xdr:cNvPr>
        <xdr:cNvCxnSpPr/>
      </xdr:nvCxnSpPr>
      <xdr:spPr>
        <a:xfrm flipH="1">
          <a:off x="8207188" y="10489221"/>
          <a:ext cx="14203" cy="108645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47625</xdr:colOff>
      <xdr:row>54</xdr:row>
      <xdr:rowOff>111121</xdr:rowOff>
    </xdr:from>
    <xdr:to>
      <xdr:col>11</xdr:col>
      <xdr:colOff>307016</xdr:colOff>
      <xdr:row>54</xdr:row>
      <xdr:rowOff>123825</xdr:rowOff>
    </xdr:to>
    <xdr:cxnSp macro="">
      <xdr:nvCxnSpPr>
        <xdr:cNvPr id="59" name="Straight Connector 58">
          <a:extLst>
            <a:ext uri="{FF2B5EF4-FFF2-40B4-BE49-F238E27FC236}">
              <a16:creationId xmlns:a16="http://schemas.microsoft.com/office/drawing/2014/main" id="{00000000-0008-0000-0500-00003B000000}"/>
            </a:ext>
          </a:extLst>
        </xdr:cNvPr>
        <xdr:cNvCxnSpPr/>
      </xdr:nvCxnSpPr>
      <xdr:spPr>
        <a:xfrm flipH="1">
          <a:off x="5438775" y="10521946"/>
          <a:ext cx="2773991" cy="12704"/>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271740</xdr:colOff>
      <xdr:row>57</xdr:row>
      <xdr:rowOff>181992</xdr:rowOff>
    </xdr:from>
    <xdr:to>
      <xdr:col>12</xdr:col>
      <xdr:colOff>236101</xdr:colOff>
      <xdr:row>59</xdr:row>
      <xdr:rowOff>55293</xdr:rowOff>
    </xdr:to>
    <xdr:sp macro="" textlink="">
      <xdr:nvSpPr>
        <xdr:cNvPr id="60" name="TextBox 59">
          <a:extLst>
            <a:ext uri="{FF2B5EF4-FFF2-40B4-BE49-F238E27FC236}">
              <a16:creationId xmlns:a16="http://schemas.microsoft.com/office/drawing/2014/main" id="{00000000-0008-0000-0500-00003C000000}"/>
            </a:ext>
          </a:extLst>
        </xdr:cNvPr>
        <xdr:cNvSpPr txBox="1"/>
      </xdr:nvSpPr>
      <xdr:spPr>
        <a:xfrm>
          <a:off x="7986990" y="11067706"/>
          <a:ext cx="590290" cy="281516"/>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id-ID" sz="1100"/>
            <a:t>6000</a:t>
          </a:r>
        </a:p>
      </xdr:txBody>
    </xdr:sp>
    <xdr:clientData/>
  </xdr:twoCellAnchor>
  <xdr:twoCellAnchor>
    <xdr:from>
      <xdr:col>7</xdr:col>
      <xdr:colOff>434827</xdr:colOff>
      <xdr:row>52</xdr:row>
      <xdr:rowOff>137940</xdr:rowOff>
    </xdr:from>
    <xdr:to>
      <xdr:col>8</xdr:col>
      <xdr:colOff>489836</xdr:colOff>
      <xdr:row>54</xdr:row>
      <xdr:rowOff>9407</xdr:rowOff>
    </xdr:to>
    <xdr:sp macro="" textlink="">
      <xdr:nvSpPr>
        <xdr:cNvPr id="61" name="TextBox 60">
          <a:extLst>
            <a:ext uri="{FF2B5EF4-FFF2-40B4-BE49-F238E27FC236}">
              <a16:creationId xmlns:a16="http://schemas.microsoft.com/office/drawing/2014/main" id="{00000000-0008-0000-0500-00003D000000}"/>
            </a:ext>
          </a:extLst>
        </xdr:cNvPr>
        <xdr:cNvSpPr txBox="1"/>
      </xdr:nvSpPr>
      <xdr:spPr>
        <a:xfrm>
          <a:off x="4993220" y="10003119"/>
          <a:ext cx="680937" cy="279681"/>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ID" sz="1100"/>
            <a:t>9</a:t>
          </a:r>
          <a:r>
            <a:rPr lang="id-ID" sz="1100"/>
            <a:t>98</a:t>
          </a:r>
          <a:endParaRPr lang="en-ID" sz="1100"/>
        </a:p>
      </xdr:txBody>
    </xdr:sp>
    <xdr:clientData/>
  </xdr:twoCellAnchor>
  <xdr:twoCellAnchor editAs="oneCell">
    <xdr:from>
      <xdr:col>18</xdr:col>
      <xdr:colOff>598713</xdr:colOff>
      <xdr:row>36</xdr:row>
      <xdr:rowOff>63954</xdr:rowOff>
    </xdr:from>
    <xdr:to>
      <xdr:col>33</xdr:col>
      <xdr:colOff>54431</xdr:colOff>
      <xdr:row>62</xdr:row>
      <xdr:rowOff>118382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00263" y="6921954"/>
          <a:ext cx="8599718" cy="5207453"/>
        </a:xfrm>
        <a:prstGeom prst="rect">
          <a:avLst/>
        </a:prstGeom>
      </xdr:spPr>
    </xdr:pic>
    <xdr:clientData/>
  </xdr:twoCellAnchor>
  <xdr:twoCellAnchor>
    <xdr:from>
      <xdr:col>27</xdr:col>
      <xdr:colOff>403412</xdr:colOff>
      <xdr:row>48</xdr:row>
      <xdr:rowOff>123265</xdr:rowOff>
    </xdr:from>
    <xdr:to>
      <xdr:col>27</xdr:col>
      <xdr:colOff>403412</xdr:colOff>
      <xdr:row>58</xdr:row>
      <xdr:rowOff>56029</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a:off x="17750118" y="9166412"/>
          <a:ext cx="0" cy="1938617"/>
        </a:xfrm>
        <a:prstGeom prst="straightConnector1">
          <a:avLst/>
        </a:prstGeom>
        <a:ln w="57150">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19</xdr:col>
      <xdr:colOff>526676</xdr:colOff>
      <xdr:row>48</xdr:row>
      <xdr:rowOff>123265</xdr:rowOff>
    </xdr:from>
    <xdr:to>
      <xdr:col>27</xdr:col>
      <xdr:colOff>403412</xdr:colOff>
      <xdr:row>48</xdr:row>
      <xdr:rowOff>123265</xdr:rowOff>
    </xdr:to>
    <xdr:cxnSp macro="">
      <xdr:nvCxnSpPr>
        <xdr:cNvPr id="8" name="Straight Connector 7">
          <a:extLst>
            <a:ext uri="{FF2B5EF4-FFF2-40B4-BE49-F238E27FC236}">
              <a16:creationId xmlns:a16="http://schemas.microsoft.com/office/drawing/2014/main" id="{00000000-0008-0000-0500-000008000000}"/>
            </a:ext>
          </a:extLst>
        </xdr:cNvPr>
        <xdr:cNvCxnSpPr/>
      </xdr:nvCxnSpPr>
      <xdr:spPr>
        <a:xfrm>
          <a:off x="13032441" y="9166412"/>
          <a:ext cx="4717677" cy="0"/>
        </a:xfrm>
        <a:prstGeom prst="line">
          <a:avLst/>
        </a:prstGeom>
        <a:ln w="57150"/>
      </xdr:spPr>
      <xdr:style>
        <a:lnRef idx="3">
          <a:schemeClr val="accent4"/>
        </a:lnRef>
        <a:fillRef idx="0">
          <a:schemeClr val="accent4"/>
        </a:fillRef>
        <a:effectRef idx="2">
          <a:schemeClr val="accent4"/>
        </a:effectRef>
        <a:fontRef idx="minor">
          <a:schemeClr val="tx1"/>
        </a:fontRef>
      </xdr:style>
    </xdr:cxnSp>
    <xdr:clientData/>
  </xdr:twoCellAnchor>
  <xdr:twoCellAnchor>
    <xdr:from>
      <xdr:col>27</xdr:col>
      <xdr:colOff>390525</xdr:colOff>
      <xdr:row>40</xdr:row>
      <xdr:rowOff>104775</xdr:rowOff>
    </xdr:from>
    <xdr:to>
      <xdr:col>27</xdr:col>
      <xdr:colOff>410138</xdr:colOff>
      <xdr:row>48</xdr:row>
      <xdr:rowOff>129989</xdr:rowOff>
    </xdr:to>
    <xdr:cxnSp macro="">
      <xdr:nvCxnSpPr>
        <xdr:cNvPr id="14" name="Straight Arrow Connector 13">
          <a:extLst>
            <a:ext uri="{FF2B5EF4-FFF2-40B4-BE49-F238E27FC236}">
              <a16:creationId xmlns:a16="http://schemas.microsoft.com/office/drawing/2014/main" id="{00000000-0008-0000-0500-00000E000000}"/>
            </a:ext>
          </a:extLst>
        </xdr:cNvPr>
        <xdr:cNvCxnSpPr/>
      </xdr:nvCxnSpPr>
      <xdr:spPr>
        <a:xfrm flipH="1" flipV="1">
          <a:off x="18278475" y="7724775"/>
          <a:ext cx="19613" cy="1625414"/>
        </a:xfrm>
        <a:prstGeom prst="straightConnector1">
          <a:avLst/>
        </a:prstGeom>
        <a:ln w="57150">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27</xdr:col>
      <xdr:colOff>354105</xdr:colOff>
      <xdr:row>40</xdr:row>
      <xdr:rowOff>91889</xdr:rowOff>
    </xdr:from>
    <xdr:to>
      <xdr:col>31</xdr:col>
      <xdr:colOff>358589</xdr:colOff>
      <xdr:row>40</xdr:row>
      <xdr:rowOff>96371</xdr:rowOff>
    </xdr:to>
    <xdr:cxnSp macro="">
      <xdr:nvCxnSpPr>
        <xdr:cNvPr id="17" name="Straight Connector 16">
          <a:extLst>
            <a:ext uri="{FF2B5EF4-FFF2-40B4-BE49-F238E27FC236}">
              <a16:creationId xmlns:a16="http://schemas.microsoft.com/office/drawing/2014/main" id="{00000000-0008-0000-0500-000011000000}"/>
            </a:ext>
          </a:extLst>
        </xdr:cNvPr>
        <xdr:cNvCxnSpPr/>
      </xdr:nvCxnSpPr>
      <xdr:spPr>
        <a:xfrm>
          <a:off x="18242055" y="7711889"/>
          <a:ext cx="2442884" cy="4482"/>
        </a:xfrm>
        <a:prstGeom prst="line">
          <a:avLst/>
        </a:prstGeom>
        <a:ln w="57150"/>
      </xdr:spPr>
      <xdr:style>
        <a:lnRef idx="3">
          <a:schemeClr val="accent4"/>
        </a:lnRef>
        <a:fillRef idx="0">
          <a:schemeClr val="accent4"/>
        </a:fillRef>
        <a:effectRef idx="2">
          <a:schemeClr val="accent4"/>
        </a:effectRef>
        <a:fontRef idx="minor">
          <a:schemeClr val="tx1"/>
        </a:fontRef>
      </xdr:style>
    </xdr:cxnSp>
    <xdr:clientData/>
  </xdr:twoCellAnchor>
  <xdr:twoCellAnchor>
    <xdr:from>
      <xdr:col>27</xdr:col>
      <xdr:colOff>393886</xdr:colOff>
      <xdr:row>52</xdr:row>
      <xdr:rowOff>72839</xdr:rowOff>
    </xdr:from>
    <xdr:to>
      <xdr:col>31</xdr:col>
      <xdr:colOff>361950</xdr:colOff>
      <xdr:row>52</xdr:row>
      <xdr:rowOff>76200</xdr:rowOff>
    </xdr:to>
    <xdr:cxnSp macro="">
      <xdr:nvCxnSpPr>
        <xdr:cNvPr id="15" name="Straight Connector 14">
          <a:extLst>
            <a:ext uri="{FF2B5EF4-FFF2-40B4-BE49-F238E27FC236}">
              <a16:creationId xmlns:a16="http://schemas.microsoft.com/office/drawing/2014/main" id="{00000000-0008-0000-0500-00000F000000}"/>
            </a:ext>
          </a:extLst>
        </xdr:cNvPr>
        <xdr:cNvCxnSpPr/>
      </xdr:nvCxnSpPr>
      <xdr:spPr>
        <a:xfrm>
          <a:off x="18281836" y="10083614"/>
          <a:ext cx="2406464" cy="3361"/>
        </a:xfrm>
        <a:prstGeom prst="line">
          <a:avLst/>
        </a:prstGeom>
        <a:ln w="57150"/>
      </xdr:spPr>
      <xdr:style>
        <a:lnRef idx="3">
          <a:schemeClr val="accent4"/>
        </a:lnRef>
        <a:fillRef idx="0">
          <a:schemeClr val="accent4"/>
        </a:fillRef>
        <a:effectRef idx="2">
          <a:schemeClr val="accent4"/>
        </a:effectRef>
        <a:fontRef idx="minor">
          <a:schemeClr val="tx1"/>
        </a:fontRef>
      </xdr:style>
    </xdr:cxnSp>
    <xdr:clientData/>
  </xdr:twoCellAnchor>
  <xdr:twoCellAnchor>
    <xdr:from>
      <xdr:col>31</xdr:col>
      <xdr:colOff>438150</xdr:colOff>
      <xdr:row>40</xdr:row>
      <xdr:rowOff>9525</xdr:rowOff>
    </xdr:from>
    <xdr:to>
      <xdr:col>32</xdr:col>
      <xdr:colOff>295275</xdr:colOff>
      <xdr:row>41</xdr:row>
      <xdr:rowOff>95250</xdr:rowOff>
    </xdr:to>
    <xdr:sp macro="" textlink="">
      <xdr:nvSpPr>
        <xdr:cNvPr id="7" name="Rectangle 6">
          <a:extLst>
            <a:ext uri="{FF2B5EF4-FFF2-40B4-BE49-F238E27FC236}">
              <a16:creationId xmlns:a16="http://schemas.microsoft.com/office/drawing/2014/main" id="{00000000-0008-0000-0500-000007000000}"/>
            </a:ext>
          </a:extLst>
        </xdr:cNvPr>
        <xdr:cNvSpPr/>
      </xdr:nvSpPr>
      <xdr:spPr>
        <a:xfrm>
          <a:off x="20764500" y="7629525"/>
          <a:ext cx="466725" cy="285750"/>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id-ID" sz="1100"/>
            <a:t>72 %</a:t>
          </a:r>
        </a:p>
      </xdr:txBody>
    </xdr:sp>
    <xdr:clientData/>
  </xdr:twoCellAnchor>
  <xdr:twoCellAnchor>
    <xdr:from>
      <xdr:col>31</xdr:col>
      <xdr:colOff>400050</xdr:colOff>
      <xdr:row>51</xdr:row>
      <xdr:rowOff>142875</xdr:rowOff>
    </xdr:from>
    <xdr:to>
      <xdr:col>32</xdr:col>
      <xdr:colOff>190500</xdr:colOff>
      <xdr:row>53</xdr:row>
      <xdr:rowOff>9525</xdr:rowOff>
    </xdr:to>
    <xdr:sp macro="" textlink="">
      <xdr:nvSpPr>
        <xdr:cNvPr id="18" name="Rectangle 17">
          <a:extLst>
            <a:ext uri="{FF2B5EF4-FFF2-40B4-BE49-F238E27FC236}">
              <a16:creationId xmlns:a16="http://schemas.microsoft.com/office/drawing/2014/main" id="{00000000-0008-0000-0500-000012000000}"/>
            </a:ext>
          </a:extLst>
        </xdr:cNvPr>
        <xdr:cNvSpPr/>
      </xdr:nvSpPr>
      <xdr:spPr>
        <a:xfrm>
          <a:off x="20726400" y="9953625"/>
          <a:ext cx="400050" cy="266700"/>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id-ID" sz="1100"/>
            <a:t>1,6</a:t>
          </a:r>
        </a:p>
      </xdr:txBody>
    </xdr:sp>
    <xdr:clientData/>
  </xdr:twoCellAnchor>
  <xdr:twoCellAnchor>
    <xdr:from>
      <xdr:col>19</xdr:col>
      <xdr:colOff>104775</xdr:colOff>
      <xdr:row>47</xdr:row>
      <xdr:rowOff>180975</xdr:rowOff>
    </xdr:from>
    <xdr:to>
      <xdr:col>19</xdr:col>
      <xdr:colOff>457200</xdr:colOff>
      <xdr:row>49</xdr:row>
      <xdr:rowOff>66675</xdr:rowOff>
    </xdr:to>
    <xdr:sp macro="" textlink="">
      <xdr:nvSpPr>
        <xdr:cNvPr id="19" name="Rectangle 18">
          <a:extLst>
            <a:ext uri="{FF2B5EF4-FFF2-40B4-BE49-F238E27FC236}">
              <a16:creationId xmlns:a16="http://schemas.microsoft.com/office/drawing/2014/main" id="{00000000-0008-0000-0500-000013000000}"/>
            </a:ext>
          </a:extLst>
        </xdr:cNvPr>
        <xdr:cNvSpPr/>
      </xdr:nvSpPr>
      <xdr:spPr>
        <a:xfrm>
          <a:off x="13115925" y="9201150"/>
          <a:ext cx="352425" cy="285750"/>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id-ID" sz="1100"/>
            <a:t>26</a:t>
          </a:r>
        </a:p>
      </xdr:txBody>
    </xdr:sp>
    <xdr:clientData/>
  </xdr:twoCellAnchor>
  <xdr:twoCellAnchor>
    <xdr:from>
      <xdr:col>27</xdr:col>
      <xdr:colOff>438150</xdr:colOff>
      <xdr:row>56</xdr:row>
      <xdr:rowOff>171450</xdr:rowOff>
    </xdr:from>
    <xdr:to>
      <xdr:col>28</xdr:col>
      <xdr:colOff>347382</xdr:colOff>
      <xdr:row>58</xdr:row>
      <xdr:rowOff>57150</xdr:rowOff>
    </xdr:to>
    <xdr:sp macro="" textlink="">
      <xdr:nvSpPr>
        <xdr:cNvPr id="20" name="Rectangle 19">
          <a:extLst>
            <a:ext uri="{FF2B5EF4-FFF2-40B4-BE49-F238E27FC236}">
              <a16:creationId xmlns:a16="http://schemas.microsoft.com/office/drawing/2014/main" id="{00000000-0008-0000-0500-000014000000}"/>
            </a:ext>
          </a:extLst>
        </xdr:cNvPr>
        <xdr:cNvSpPr/>
      </xdr:nvSpPr>
      <xdr:spPr>
        <a:xfrm>
          <a:off x="18244297" y="11007538"/>
          <a:ext cx="514350" cy="289112"/>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id-ID" sz="1100"/>
            <a:t>6000</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11</xdr:col>
      <xdr:colOff>259734</xdr:colOff>
      <xdr:row>3</xdr:row>
      <xdr:rowOff>20485</xdr:rowOff>
    </xdr:from>
    <xdr:ext cx="4931391" cy="157019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0137159" y="611035"/>
              <a:ext cx="4931391" cy="157019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a:rPr>
                      <m:t>𝐹𝑙𝑜𝑤</m:t>
                    </m:r>
                    <m:r>
                      <a:rPr lang="en-US" sz="1100" i="1">
                        <a:latin typeface="Cambria Math"/>
                      </a:rPr>
                      <m:t> @ </m:t>
                    </m:r>
                    <m:r>
                      <a:rPr lang="en-US" sz="1100" i="1">
                        <a:latin typeface="Cambria Math"/>
                      </a:rPr>
                      <m:t>𝑁𝑒𝑤</m:t>
                    </m:r>
                    <m:r>
                      <a:rPr lang="en-US" sz="1100" i="1">
                        <a:latin typeface="Cambria Math"/>
                      </a:rPr>
                      <m:t> </m:t>
                    </m:r>
                    <m:r>
                      <a:rPr lang="en-US" sz="1100" i="1">
                        <a:latin typeface="Cambria Math"/>
                      </a:rPr>
                      <m:t>𝐻𝑧</m:t>
                    </m:r>
                    <m:r>
                      <a:rPr lang="en-US" sz="1100" i="1">
                        <a:latin typeface="Cambria Math"/>
                      </a:rPr>
                      <m:t> = </m:t>
                    </m:r>
                    <m:r>
                      <a:rPr lang="en-US" sz="1100" i="1">
                        <a:latin typeface="Cambria Math"/>
                      </a:rPr>
                      <m:t>𝐹𝑙𝑜𝑤</m:t>
                    </m:r>
                    <m:r>
                      <a:rPr lang="en-US" sz="1100" i="1">
                        <a:latin typeface="Cambria Math"/>
                      </a:rPr>
                      <m:t> @ </m:t>
                    </m:r>
                    <m:r>
                      <a:rPr lang="en-US" sz="1100" i="1">
                        <a:latin typeface="Cambria Math"/>
                      </a:rPr>
                      <m:t>𝑜𝑙𝑑</m:t>
                    </m:r>
                    <m:r>
                      <a:rPr lang="en-US" sz="1100" i="1">
                        <a:latin typeface="Cambria Math"/>
                      </a:rPr>
                      <m:t> </m:t>
                    </m:r>
                    <m:r>
                      <a:rPr lang="en-US" sz="1100" i="1">
                        <a:latin typeface="Cambria Math"/>
                      </a:rPr>
                      <m:t>𝐻𝑧</m:t>
                    </m:r>
                    <m:r>
                      <a:rPr lang="en-US" sz="1100" i="1">
                        <a:latin typeface="Cambria Math"/>
                      </a:rPr>
                      <m:t> </m:t>
                    </m:r>
                    <m:r>
                      <a:rPr lang="en-US" sz="1100" i="1">
                        <a:latin typeface="Cambria Math"/>
                      </a:rPr>
                      <m:t>𝑥</m:t>
                    </m:r>
                    <m:r>
                      <a:rPr lang="en-US" sz="1100" i="1">
                        <a:latin typeface="Cambria Math"/>
                      </a:rPr>
                      <m:t> (</m:t>
                    </m:r>
                    <m:r>
                      <a:rPr lang="en-US" sz="1100" i="1">
                        <a:latin typeface="Cambria Math"/>
                      </a:rPr>
                      <m:t>𝑁𝑒𝑤</m:t>
                    </m:r>
                    <m:r>
                      <a:rPr lang="en-US" sz="1100" i="1">
                        <a:latin typeface="Cambria Math"/>
                      </a:rPr>
                      <m:t> </m:t>
                    </m:r>
                    <m:r>
                      <a:rPr lang="en-US" sz="1100" i="1">
                        <a:latin typeface="Cambria Math"/>
                      </a:rPr>
                      <m:t>𝐻𝑧</m:t>
                    </m:r>
                    <m:r>
                      <a:rPr lang="en-US" sz="1100" i="1">
                        <a:latin typeface="Cambria Math"/>
                      </a:rPr>
                      <m:t>/ </m:t>
                    </m:r>
                    <m:r>
                      <a:rPr lang="en-US" sz="1100" i="1">
                        <a:latin typeface="Cambria Math"/>
                      </a:rPr>
                      <m:t>𝑂𝑙𝑑</m:t>
                    </m:r>
                    <m:r>
                      <a:rPr lang="en-US" sz="1100" i="1">
                        <a:latin typeface="Cambria Math"/>
                      </a:rPr>
                      <m:t> </m:t>
                    </m:r>
                    <m:r>
                      <a:rPr lang="en-US" sz="1100" i="1">
                        <a:latin typeface="Cambria Math"/>
                      </a:rPr>
                      <m:t>𝐻𝑧</m:t>
                    </m:r>
                    <m:r>
                      <a:rPr lang="en-US" sz="1100" i="1">
                        <a:latin typeface="Cambria Math"/>
                      </a:rPr>
                      <m:t>)</m:t>
                    </m:r>
                  </m:oMath>
                </m:oMathPara>
              </a14:m>
              <a:endParaRPr lang="en-US" sz="1100"/>
            </a:p>
            <a:p>
              <a:r>
                <a:rPr lang="en-US" sz="1100"/>
                <a:t>Head @ New Hz</a:t>
              </a:r>
              <a:r>
                <a:rPr lang="en-US" sz="1100" baseline="0"/>
                <a:t> </a:t>
              </a:r>
              <a:r>
                <a:rPr lang="en-US" sz="1100"/>
                <a:t> = </a:t>
              </a:r>
              <a14:m>
                <m:oMath xmlns:m="http://schemas.openxmlformats.org/officeDocument/2006/math">
                  <m:sSup>
                    <m:sSupPr>
                      <m:ctrlPr>
                        <a:rPr lang="en-US" sz="1100" i="1">
                          <a:latin typeface="Cambria Math" panose="02040503050406030204" pitchFamily="18" charset="0"/>
                        </a:rPr>
                      </m:ctrlPr>
                    </m:sSupPr>
                    <m:e>
                      <m:r>
                        <m:rPr>
                          <m:nor/>
                        </m:rPr>
                        <a:rPr lang="en-US" sz="1100" b="0" i="0">
                          <a:latin typeface="Cambria Math"/>
                        </a:rPr>
                        <m:t> </m:t>
                      </m:r>
                      <m:r>
                        <m:rPr>
                          <m:nor/>
                        </m:rPr>
                        <a:rPr lang="en-US" sz="1100">
                          <a:solidFill>
                            <a:schemeClr val="tx1"/>
                          </a:solidFill>
                          <a:effectLst/>
                          <a:latin typeface="+mn-lt"/>
                          <a:ea typeface="+mn-ea"/>
                          <a:cs typeface="+mn-cs"/>
                        </a:rPr>
                        <m:t>Head</m:t>
                      </m:r>
                      <m:r>
                        <m:rPr>
                          <m:nor/>
                        </m:rPr>
                        <a:rPr lang="en-US" sz="1100">
                          <a:solidFill>
                            <a:schemeClr val="tx1"/>
                          </a:solidFill>
                          <a:effectLst/>
                          <a:latin typeface="+mn-lt"/>
                          <a:ea typeface="+mn-ea"/>
                          <a:cs typeface="+mn-cs"/>
                        </a:rPr>
                        <m:t> @ </m:t>
                      </m:r>
                      <m:r>
                        <m:rPr>
                          <m:nor/>
                        </m:rPr>
                        <a:rPr lang="en-US" sz="1100">
                          <a:solidFill>
                            <a:schemeClr val="tx1"/>
                          </a:solidFill>
                          <a:effectLst/>
                          <a:latin typeface="+mn-lt"/>
                          <a:ea typeface="+mn-ea"/>
                          <a:cs typeface="+mn-cs"/>
                        </a:rPr>
                        <m:t>old</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Hz</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x</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New</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Hz</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Old</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Hz</m:t>
                      </m:r>
                      <m:r>
                        <m:rPr>
                          <m:nor/>
                        </m:rPr>
                        <a:rPr lang="en-US" sz="1100" b="0" i="0">
                          <a:solidFill>
                            <a:schemeClr val="tx1"/>
                          </a:solidFill>
                          <a:effectLst/>
                          <a:latin typeface="+mn-lt"/>
                          <a:ea typeface="+mn-ea"/>
                          <a:cs typeface="+mn-cs"/>
                        </a:rPr>
                        <m:t>)</m:t>
                      </m:r>
                    </m:e>
                    <m:sup>
                      <m:r>
                        <a:rPr lang="en-US" sz="1100" i="1">
                          <a:latin typeface="Cambria Math"/>
                        </a:rPr>
                        <m:t>2</m:t>
                      </m:r>
                    </m:sup>
                  </m:sSup>
                </m:oMath>
              </a14:m>
              <a:endParaRPr lang="en-US" sz="1100"/>
            </a:p>
            <a:p>
              <a:r>
                <a:rPr lang="en-US" sz="1100"/>
                <a:t>BHP@New Hz  = </a:t>
              </a:r>
              <a14:m>
                <m:oMath xmlns:m="http://schemas.openxmlformats.org/officeDocument/2006/math">
                  <m:sSup>
                    <m:sSupPr>
                      <m:ctrlPr>
                        <a:rPr lang="en-US" sz="1100" i="1">
                          <a:latin typeface="Cambria Math" panose="02040503050406030204" pitchFamily="18" charset="0"/>
                        </a:rPr>
                      </m:ctrlPr>
                    </m:sSupPr>
                    <m:e>
                      <m:r>
                        <m:rPr>
                          <m:nor/>
                        </m:rPr>
                        <a:rPr lang="en-US" sz="1100" b="0" i="0">
                          <a:latin typeface="Cambria Math"/>
                        </a:rPr>
                        <m:t> </m:t>
                      </m:r>
                      <m:r>
                        <m:rPr>
                          <m:nor/>
                        </m:rPr>
                        <a:rPr lang="en-US" sz="1100">
                          <a:solidFill>
                            <a:schemeClr val="tx1"/>
                          </a:solidFill>
                          <a:effectLst/>
                          <a:latin typeface="+mn-lt"/>
                          <a:ea typeface="+mn-ea"/>
                          <a:cs typeface="+mn-cs"/>
                        </a:rPr>
                        <m:t>BHP</m:t>
                      </m:r>
                      <m:r>
                        <m:rPr>
                          <m:nor/>
                        </m:rPr>
                        <a:rPr lang="en-US" sz="1100">
                          <a:solidFill>
                            <a:schemeClr val="tx1"/>
                          </a:solidFill>
                          <a:effectLst/>
                          <a:latin typeface="+mn-lt"/>
                          <a:ea typeface="+mn-ea"/>
                          <a:cs typeface="+mn-cs"/>
                        </a:rPr>
                        <m:t>@</m:t>
                      </m:r>
                      <m:r>
                        <m:rPr>
                          <m:nor/>
                        </m:rPr>
                        <a:rPr lang="en-US" sz="1100">
                          <a:solidFill>
                            <a:schemeClr val="tx1"/>
                          </a:solidFill>
                          <a:effectLst/>
                          <a:latin typeface="+mn-lt"/>
                          <a:ea typeface="+mn-ea"/>
                          <a:cs typeface="+mn-cs"/>
                        </a:rPr>
                        <m:t>old</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Hz</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x</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New</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Hz</m:t>
                      </m:r>
                      <m:r>
                        <m:rPr>
                          <m:nor/>
                        </m:rPr>
                        <a:rPr lang="en-US" sz="1100">
                          <a:solidFill>
                            <a:schemeClr val="tx1"/>
                          </a:solidFill>
                          <a:effectLst/>
                          <a:latin typeface="+mn-lt"/>
                          <a:ea typeface="+mn-ea"/>
                          <a:cs typeface="+mn-cs"/>
                        </a:rPr>
                        <m:t>/</m:t>
                      </m:r>
                      <m:r>
                        <m:rPr>
                          <m:nor/>
                        </m:rPr>
                        <a:rPr lang="en-US" sz="1100">
                          <a:solidFill>
                            <a:schemeClr val="tx1"/>
                          </a:solidFill>
                          <a:effectLst/>
                          <a:latin typeface="+mn-lt"/>
                          <a:ea typeface="+mn-ea"/>
                          <a:cs typeface="+mn-cs"/>
                        </a:rPr>
                        <m:t>Old</m:t>
                      </m:r>
                      <m:r>
                        <m:rPr>
                          <m:nor/>
                        </m:rPr>
                        <a:rPr lang="en-US" sz="1100">
                          <a:solidFill>
                            <a:schemeClr val="tx1"/>
                          </a:solidFill>
                          <a:effectLst/>
                          <a:latin typeface="+mn-lt"/>
                          <a:ea typeface="+mn-ea"/>
                          <a:cs typeface="+mn-cs"/>
                        </a:rPr>
                        <m:t> </m:t>
                      </m:r>
                      <m:r>
                        <m:rPr>
                          <m:nor/>
                        </m:rPr>
                        <a:rPr lang="en-US" sz="1100">
                          <a:solidFill>
                            <a:schemeClr val="tx1"/>
                          </a:solidFill>
                          <a:effectLst/>
                          <a:latin typeface="+mn-lt"/>
                          <a:ea typeface="+mn-ea"/>
                          <a:cs typeface="+mn-cs"/>
                        </a:rPr>
                        <m:t>Hz</m:t>
                      </m:r>
                      <m:r>
                        <m:rPr>
                          <m:nor/>
                        </m:rPr>
                        <a:rPr lang="en-US" sz="1100">
                          <a:solidFill>
                            <a:schemeClr val="tx1"/>
                          </a:solidFill>
                          <a:effectLst/>
                          <a:latin typeface="+mn-lt"/>
                          <a:ea typeface="+mn-ea"/>
                          <a:cs typeface="+mn-cs"/>
                        </a:rPr>
                        <m:t>)</m:t>
                      </m:r>
                    </m:e>
                    <m:sup>
                      <m:r>
                        <a:rPr lang="en-US" sz="1100" b="0" i="1">
                          <a:latin typeface="Cambria Math"/>
                        </a:rPr>
                        <m:t>3</m:t>
                      </m:r>
                    </m:sup>
                  </m:sSup>
                </m:oMath>
              </a14:m>
              <a:r>
                <a:rPr lang="en-US" sz="1100"/>
                <a:t>= </a:t>
              </a:r>
              <a:r>
                <a:rPr lang="en-US" sz="1100">
                  <a:solidFill>
                    <a:srgbClr val="FF0000"/>
                  </a:solidFill>
                </a:rPr>
                <a:t>the hp of pump (HP pump /stg)</a:t>
              </a:r>
            </a:p>
            <a:p>
              <a:r>
                <a:rPr lang="en-US" sz="1100"/>
                <a:t>MHP@NewHz= MHP@old</a:t>
              </a:r>
              <a:r>
                <a:rPr lang="en-US" sz="1100" baseline="0"/>
                <a:t> Hz x (New Hz/ Old Hz)= motor HP</a:t>
              </a:r>
            </a:p>
            <a:p>
              <a:pPr/>
              <a14:m>
                <m:oMathPara xmlns:m="http://schemas.openxmlformats.org/officeDocument/2006/math">
                  <m:oMathParaPr>
                    <m:jc m:val="left"/>
                  </m:oMathParaPr>
                  <m:oMath xmlns:m="http://schemas.openxmlformats.org/officeDocument/2006/math">
                    <m:r>
                      <a:rPr lang="en-US" sz="1100" b="0" i="1" baseline="0">
                        <a:latin typeface="Cambria Math"/>
                      </a:rPr>
                      <m:t>𝐻𝑧</m:t>
                    </m:r>
                    <m:r>
                      <a:rPr lang="en-US" sz="1100" b="0" i="1" baseline="0">
                        <a:latin typeface="Cambria Math"/>
                      </a:rPr>
                      <m:t>=60 </m:t>
                    </m:r>
                    <m:r>
                      <a:rPr lang="en-US" sz="1100" b="0" i="1" baseline="0">
                        <a:latin typeface="Cambria Math"/>
                      </a:rPr>
                      <m:t>𝑥</m:t>
                    </m:r>
                    <m:r>
                      <a:rPr lang="en-US" sz="1100" b="0" i="1" baseline="0">
                        <a:latin typeface="Cambria Math"/>
                      </a:rPr>
                      <m:t> </m:t>
                    </m:r>
                    <m:rad>
                      <m:radPr>
                        <m:degHide m:val="on"/>
                        <m:ctrlPr>
                          <a:rPr lang="en-US" sz="1100" b="0" i="1" baseline="0">
                            <a:latin typeface="Cambria Math" panose="02040503050406030204" pitchFamily="18" charset="0"/>
                          </a:rPr>
                        </m:ctrlPr>
                      </m:radPr>
                      <m:deg/>
                      <m:e>
                        <m:f>
                          <m:fPr>
                            <m:ctrlPr>
                              <a:rPr lang="en-US" sz="1100" b="0" i="1" baseline="0">
                                <a:latin typeface="Cambria Math" panose="02040503050406030204" pitchFamily="18" charset="0"/>
                              </a:rPr>
                            </m:ctrlPr>
                          </m:fPr>
                          <m:num>
                            <m:sSub>
                              <m:sSubPr>
                                <m:ctrlPr>
                                  <a:rPr lang="en-US" sz="1100" b="0" i="1" baseline="0">
                                    <a:latin typeface="Cambria Math" panose="02040503050406030204" pitchFamily="18" charset="0"/>
                                  </a:rPr>
                                </m:ctrlPr>
                              </m:sSubPr>
                              <m:e>
                                <m:r>
                                  <a:rPr lang="en-US" sz="1100" b="0" i="1" baseline="0">
                                    <a:latin typeface="Cambria Math"/>
                                  </a:rPr>
                                  <m:t>𝑀𝐻𝑃</m:t>
                                </m:r>
                              </m:e>
                              <m:sub>
                                <m:r>
                                  <a:rPr lang="en-US" sz="1100" b="0" i="1" baseline="0">
                                    <a:latin typeface="Cambria Math"/>
                                  </a:rPr>
                                  <m:t>60</m:t>
                                </m:r>
                              </m:sub>
                            </m:sSub>
                          </m:num>
                          <m:den>
                            <m:sSub>
                              <m:sSubPr>
                                <m:ctrlPr>
                                  <a:rPr lang="en-US" sz="1100" b="0" i="1" baseline="0">
                                    <a:latin typeface="Cambria Math" panose="02040503050406030204" pitchFamily="18" charset="0"/>
                                  </a:rPr>
                                </m:ctrlPr>
                              </m:sSubPr>
                              <m:e>
                                <m:r>
                                  <a:rPr lang="en-US" sz="1100" b="0" i="1" baseline="0">
                                    <a:latin typeface="Cambria Math"/>
                                  </a:rPr>
                                  <m:t>𝐵𝐻𝑃</m:t>
                                </m:r>
                              </m:e>
                              <m:sub>
                                <m:r>
                                  <a:rPr lang="en-US" sz="1100" b="0" i="1" baseline="0">
                                    <a:latin typeface="Cambria Math"/>
                                  </a:rPr>
                                  <m:t>60</m:t>
                                </m:r>
                              </m:sub>
                            </m:sSub>
                          </m:den>
                        </m:f>
                      </m:e>
                    </m:rad>
                  </m:oMath>
                </m:oMathPara>
              </a14:m>
              <a:endParaRPr lang="en-US" sz="1100" baseline="0"/>
            </a:p>
            <a:p>
              <a:endParaRPr lang="en-US" sz="1100" baseline="0"/>
            </a:p>
          </xdr:txBody>
        </xdr:sp>
      </mc:Choice>
      <mc:Fallback xmlns="">
        <xdr:sp macro="" textlink="">
          <xdr:nvSpPr>
            <xdr:cNvPr id="2" name="TextBox 1">
              <a:extLst>
                <a:ext uri="{FF2B5EF4-FFF2-40B4-BE49-F238E27FC236}">
                  <a16:creationId xmlns:a16="http://schemas.microsoft.com/office/drawing/2014/main" xmlns:a14="http://schemas.microsoft.com/office/drawing/2010/main" xmlns="" id="{00000000-0008-0000-0100-000002000000}"/>
                </a:ext>
              </a:extLst>
            </xdr:cNvPr>
            <xdr:cNvSpPr txBox="1"/>
          </xdr:nvSpPr>
          <xdr:spPr>
            <a:xfrm>
              <a:off x="10137159" y="611035"/>
              <a:ext cx="4931391" cy="157019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pPr/>
              <a:r>
                <a:rPr lang="en-US" sz="1100" i="0">
                  <a:latin typeface="Cambria Math"/>
                </a:rPr>
                <a:t>𝐹𝑙𝑜𝑤 @ 𝑁𝑒𝑤 𝐻𝑧 = 𝐹𝑙𝑜𝑤 @ 𝑜𝑙𝑑 𝐻𝑧 𝑥 (𝑁𝑒𝑤 𝐻𝑧/ 𝑂𝑙𝑑 𝐻𝑧)</a:t>
              </a:r>
              <a:endParaRPr lang="en-US" sz="1100"/>
            </a:p>
            <a:p>
              <a:r>
                <a:rPr lang="en-US" sz="1100"/>
                <a:t>Head @ New Hz</a:t>
              </a:r>
              <a:r>
                <a:rPr lang="en-US" sz="1100" baseline="0"/>
                <a:t> </a:t>
              </a:r>
              <a:r>
                <a:rPr lang="en-US" sz="1100"/>
                <a:t> = </a:t>
              </a:r>
              <a:r>
                <a:rPr lang="en-US" sz="1100" i="0">
                  <a:latin typeface="Cambria Math" panose="02040503050406030204" pitchFamily="18" charset="0"/>
                </a:rPr>
                <a:t>〖</a:t>
              </a:r>
              <a:r>
                <a:rPr lang="en-US" sz="1100" b="0" i="0">
                  <a:latin typeface="Cambria Math"/>
                </a:rPr>
                <a:t>" </a:t>
              </a:r>
              <a:r>
                <a:rPr lang="en-US" sz="1100" i="0">
                  <a:solidFill>
                    <a:schemeClr val="tx1"/>
                  </a:solidFill>
                  <a:effectLst/>
                  <a:latin typeface="+mn-lt"/>
                  <a:ea typeface="+mn-ea"/>
                  <a:cs typeface="+mn-cs"/>
                </a:rPr>
                <a:t>Head @ old Hz x (New Hz/ Old Hz</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 〗^</a:t>
              </a:r>
              <a:r>
                <a:rPr lang="en-US" sz="1100" i="0">
                  <a:latin typeface="Cambria Math"/>
                </a:rPr>
                <a:t>2</a:t>
              </a:r>
              <a:endParaRPr lang="en-US" sz="1100"/>
            </a:p>
            <a:p>
              <a:r>
                <a:rPr lang="en-US" sz="1100"/>
                <a:t>BHP@New Hz  = </a:t>
              </a:r>
              <a:r>
                <a:rPr lang="en-US" sz="1100" i="0">
                  <a:latin typeface="Cambria Math" panose="02040503050406030204" pitchFamily="18" charset="0"/>
                </a:rPr>
                <a:t>〖</a:t>
              </a:r>
              <a:r>
                <a:rPr lang="en-US" sz="1100" b="0" i="0">
                  <a:latin typeface="Cambria Math"/>
                </a:rPr>
                <a:t>" </a:t>
              </a:r>
              <a:r>
                <a:rPr lang="en-US" sz="1100" i="0">
                  <a:solidFill>
                    <a:schemeClr val="tx1"/>
                  </a:solidFill>
                  <a:effectLst/>
                  <a:latin typeface="+mn-lt"/>
                  <a:ea typeface="+mn-ea"/>
                  <a:cs typeface="+mn-cs"/>
                </a:rPr>
                <a:t>BHP@old Hz x  (New Hz/Old Hz)</a:t>
              </a:r>
              <a:r>
                <a:rPr lang="en-US" sz="1100" i="0">
                  <a:solidFill>
                    <a:schemeClr val="tx1"/>
                  </a:solidFill>
                  <a:effectLst/>
                  <a:latin typeface="Cambria Math" panose="02040503050406030204" pitchFamily="18" charset="0"/>
                  <a:ea typeface="+mn-ea"/>
                  <a:cs typeface="+mn-cs"/>
                </a:rPr>
                <a:t>" 〗^</a:t>
              </a:r>
              <a:r>
                <a:rPr lang="en-US" sz="1100" b="0" i="0">
                  <a:latin typeface="Cambria Math"/>
                </a:rPr>
                <a:t>3</a:t>
              </a:r>
              <a:r>
                <a:rPr lang="en-US" sz="1100"/>
                <a:t>= </a:t>
              </a:r>
              <a:r>
                <a:rPr lang="en-US" sz="1100">
                  <a:solidFill>
                    <a:srgbClr val="FF0000"/>
                  </a:solidFill>
                </a:rPr>
                <a:t>the hp of pump (HP pump /stg)</a:t>
              </a:r>
            </a:p>
            <a:p>
              <a:r>
                <a:rPr lang="en-US" sz="1100"/>
                <a:t>MHP@NewHz= MHP@old</a:t>
              </a:r>
              <a:r>
                <a:rPr lang="en-US" sz="1100" baseline="0"/>
                <a:t> Hz x (New Hz/ Old Hz)= motor HP</a:t>
              </a:r>
            </a:p>
            <a:p>
              <a:pPr/>
              <a:r>
                <a:rPr lang="en-US" sz="1100" b="0" i="0" baseline="0">
                  <a:latin typeface="Cambria Math"/>
                </a:rPr>
                <a:t>𝐻𝑧=60 𝑥 </a:t>
              </a:r>
              <a:r>
                <a:rPr lang="en-US" sz="1100" b="0" i="0" baseline="0">
                  <a:latin typeface="Cambria Math" panose="02040503050406030204" pitchFamily="18" charset="0"/>
                </a:rPr>
                <a:t>√(〖</a:t>
              </a:r>
              <a:r>
                <a:rPr lang="en-US" sz="1100" b="0" i="0" baseline="0">
                  <a:latin typeface="Cambria Math"/>
                </a:rPr>
                <a:t>𝑀𝐻𝑃</a:t>
              </a:r>
              <a:r>
                <a:rPr lang="en-US" sz="1100" b="0" i="0" baseline="0">
                  <a:latin typeface="Cambria Math" panose="02040503050406030204" pitchFamily="18" charset="0"/>
                </a:rPr>
                <a:t>〗_</a:t>
              </a:r>
              <a:r>
                <a:rPr lang="en-US" sz="1100" b="0" i="0" baseline="0">
                  <a:latin typeface="Cambria Math"/>
                </a:rPr>
                <a:t>60</a:t>
              </a:r>
              <a:r>
                <a:rPr lang="en-US" sz="1100" b="0" i="0" baseline="0">
                  <a:latin typeface="Cambria Math" panose="02040503050406030204" pitchFamily="18" charset="0"/>
                </a:rPr>
                <a:t>/〖</a:t>
              </a:r>
              <a:r>
                <a:rPr lang="en-US" sz="1100" b="0" i="0" baseline="0">
                  <a:latin typeface="Cambria Math"/>
                </a:rPr>
                <a:t>𝐵𝐻𝑃</a:t>
              </a:r>
              <a:r>
                <a:rPr lang="en-US" sz="1100" b="0" i="0" baseline="0">
                  <a:latin typeface="Cambria Math" panose="02040503050406030204" pitchFamily="18" charset="0"/>
                </a:rPr>
                <a:t>〗_</a:t>
              </a:r>
              <a:r>
                <a:rPr lang="en-US" sz="1100" b="0" i="0" baseline="0">
                  <a:latin typeface="Cambria Math"/>
                </a:rPr>
                <a:t>60</a:t>
              </a:r>
              <a:r>
                <a:rPr lang="en-US" sz="1100" b="0" i="0" baseline="0">
                  <a:latin typeface="Cambria Math" panose="02040503050406030204" pitchFamily="18" charset="0"/>
                </a:rPr>
                <a:t> )</a:t>
              </a:r>
              <a:endParaRPr lang="en-US" sz="1100" baseline="0"/>
            </a:p>
            <a:p>
              <a:endParaRPr lang="en-US" sz="1100" baseline="0"/>
            </a:p>
          </xdr:txBody>
        </xdr:sp>
      </mc:Fallback>
    </mc:AlternateContent>
    <xdr:clientData/>
  </xdr:oneCellAnchor>
  <xdr:twoCellAnchor>
    <xdr:from>
      <xdr:col>32</xdr:col>
      <xdr:colOff>284855</xdr:colOff>
      <xdr:row>26</xdr:row>
      <xdr:rowOff>131739</xdr:rowOff>
    </xdr:from>
    <xdr:to>
      <xdr:col>32</xdr:col>
      <xdr:colOff>286214</xdr:colOff>
      <xdr:row>53</xdr:row>
      <xdr:rowOff>106248</xdr:rowOff>
    </xdr:to>
    <xdr:cxnSp macro="">
      <xdr:nvCxnSpPr>
        <xdr:cNvPr id="3" name="Straight Connector 2">
          <a:extLst>
            <a:ext uri="{FF2B5EF4-FFF2-40B4-BE49-F238E27FC236}">
              <a16:creationId xmlns:a16="http://schemas.microsoft.com/office/drawing/2014/main" id="{00000000-0008-0000-0700-000003000000}"/>
            </a:ext>
          </a:extLst>
        </xdr:cNvPr>
        <xdr:cNvCxnSpPr/>
      </xdr:nvCxnSpPr>
      <xdr:spPr>
        <a:xfrm>
          <a:off x="24345005" y="5475264"/>
          <a:ext cx="1359" cy="5118009"/>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43</xdr:col>
      <xdr:colOff>81114</xdr:colOff>
      <xdr:row>21</xdr:row>
      <xdr:rowOff>166945</xdr:rowOff>
    </xdr:from>
    <xdr:to>
      <xdr:col>51</xdr:col>
      <xdr:colOff>200302</xdr:colOff>
      <xdr:row>38</xdr:row>
      <xdr:rowOff>71694</xdr:rowOff>
    </xdr:to>
    <xdr:sp macro="" textlink="">
      <xdr:nvSpPr>
        <xdr:cNvPr id="4" name="Freeform 3">
          <a:extLst>
            <a:ext uri="{FF2B5EF4-FFF2-40B4-BE49-F238E27FC236}">
              <a16:creationId xmlns:a16="http://schemas.microsoft.com/office/drawing/2014/main" id="{00000000-0008-0000-0700-000004000000}"/>
            </a:ext>
          </a:extLst>
        </xdr:cNvPr>
        <xdr:cNvSpPr/>
      </xdr:nvSpPr>
      <xdr:spPr>
        <a:xfrm>
          <a:off x="30846864" y="4557970"/>
          <a:ext cx="4995988" cy="3143249"/>
        </a:xfrm>
        <a:custGeom>
          <a:avLst/>
          <a:gdLst>
            <a:gd name="connsiteX0" fmla="*/ 0 w 4912855"/>
            <a:gd name="connsiteY0" fmla="*/ 2870058 h 2870058"/>
            <a:gd name="connsiteX1" fmla="*/ 2362200 w 4912855"/>
            <a:gd name="connsiteY1" fmla="*/ 2165208 h 2870058"/>
            <a:gd name="connsiteX2" fmla="*/ 4648200 w 4912855"/>
            <a:gd name="connsiteY2" fmla="*/ 250683 h 2870058"/>
            <a:gd name="connsiteX3" fmla="*/ 4772025 w 4912855"/>
            <a:gd name="connsiteY3" fmla="*/ 79233 h 2870058"/>
          </a:gdLst>
          <a:ahLst/>
          <a:cxnLst>
            <a:cxn ang="0">
              <a:pos x="connsiteX0" y="connsiteY0"/>
            </a:cxn>
            <a:cxn ang="0">
              <a:pos x="connsiteX1" y="connsiteY1"/>
            </a:cxn>
            <a:cxn ang="0">
              <a:pos x="connsiteX2" y="connsiteY2"/>
            </a:cxn>
            <a:cxn ang="0">
              <a:pos x="connsiteX3" y="connsiteY3"/>
            </a:cxn>
          </a:cxnLst>
          <a:rect l="l" t="t" r="r" b="b"/>
          <a:pathLst>
            <a:path w="4912855" h="2870058">
              <a:moveTo>
                <a:pt x="0" y="2870058"/>
              </a:moveTo>
              <a:cubicBezTo>
                <a:pt x="793750" y="2735914"/>
                <a:pt x="1587500" y="2601770"/>
                <a:pt x="2362200" y="2165208"/>
              </a:cubicBezTo>
              <a:cubicBezTo>
                <a:pt x="3136900" y="1728646"/>
                <a:pt x="4246563" y="598345"/>
                <a:pt x="4648200" y="250683"/>
              </a:cubicBezTo>
              <a:cubicBezTo>
                <a:pt x="5049837" y="-96979"/>
                <a:pt x="4910931" y="-8873"/>
                <a:pt x="4772025" y="79233"/>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19</xdr:row>
      <xdr:rowOff>0</xdr:rowOff>
    </xdr:from>
    <xdr:to>
      <xdr:col>9</xdr:col>
      <xdr:colOff>313233</xdr:colOff>
      <xdr:row>45</xdr:row>
      <xdr:rowOff>46998</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3990975"/>
          <a:ext cx="8733333" cy="5019048"/>
        </a:xfrm>
        <a:prstGeom prst="rect">
          <a:avLst/>
        </a:prstGeom>
      </xdr:spPr>
    </xdr:pic>
    <xdr:clientData/>
  </xdr:twoCellAnchor>
  <xdr:twoCellAnchor>
    <xdr:from>
      <xdr:col>4</xdr:col>
      <xdr:colOff>257735</xdr:colOff>
      <xdr:row>34</xdr:row>
      <xdr:rowOff>22411</xdr:rowOff>
    </xdr:from>
    <xdr:to>
      <xdr:col>4</xdr:col>
      <xdr:colOff>257735</xdr:colOff>
      <xdr:row>41</xdr:row>
      <xdr:rowOff>56029</xdr:rowOff>
    </xdr:to>
    <xdr:cxnSp macro="">
      <xdr:nvCxnSpPr>
        <xdr:cNvPr id="6" name="Straight Connector 5">
          <a:extLst>
            <a:ext uri="{FF2B5EF4-FFF2-40B4-BE49-F238E27FC236}">
              <a16:creationId xmlns:a16="http://schemas.microsoft.com/office/drawing/2014/main" id="{00000000-0008-0000-0700-000006000000}"/>
            </a:ext>
          </a:extLst>
        </xdr:cNvPr>
        <xdr:cNvCxnSpPr/>
      </xdr:nvCxnSpPr>
      <xdr:spPr>
        <a:xfrm flipV="1">
          <a:off x="4772585" y="6889936"/>
          <a:ext cx="0" cy="1367118"/>
        </a:xfrm>
        <a:prstGeom prst="line">
          <a:avLst/>
        </a:prstGeom>
        <a:ln w="28575">
          <a:prstDash val="solid"/>
          <a:headEnd type="none" w="med" len="med"/>
          <a:tailEnd type="arrow"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22411</xdr:colOff>
      <xdr:row>34</xdr:row>
      <xdr:rowOff>0</xdr:rowOff>
    </xdr:from>
    <xdr:to>
      <xdr:col>4</xdr:col>
      <xdr:colOff>257735</xdr:colOff>
      <xdr:row>34</xdr:row>
      <xdr:rowOff>11205</xdr:rowOff>
    </xdr:to>
    <xdr:cxnSp macro="">
      <xdr:nvCxnSpPr>
        <xdr:cNvPr id="7" name="Straight Connector 6">
          <a:extLst>
            <a:ext uri="{FF2B5EF4-FFF2-40B4-BE49-F238E27FC236}">
              <a16:creationId xmlns:a16="http://schemas.microsoft.com/office/drawing/2014/main" id="{00000000-0008-0000-0700-000007000000}"/>
            </a:ext>
          </a:extLst>
        </xdr:cNvPr>
        <xdr:cNvCxnSpPr/>
      </xdr:nvCxnSpPr>
      <xdr:spPr>
        <a:xfrm flipH="1" flipV="1">
          <a:off x="632011" y="6867525"/>
          <a:ext cx="4140574" cy="11205"/>
        </a:xfrm>
        <a:prstGeom prst="line">
          <a:avLst/>
        </a:prstGeom>
        <a:ln w="19050">
          <a:headEnd type="none" w="med" len="med"/>
          <a:tailEnd type="arrow"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71437</xdr:colOff>
      <xdr:row>29</xdr:row>
      <xdr:rowOff>52387</xdr:rowOff>
    </xdr:from>
    <xdr:ext cx="2890838" cy="1952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328737" y="4814887"/>
              <a:ext cx="2890838" cy="1952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ID" sz="1050" b="0" i="1">
                            <a:latin typeface="Cambria Math" panose="02040503050406030204" pitchFamily="18" charset="0"/>
                          </a:rPr>
                        </m:ctrlPr>
                      </m:dPr>
                      <m:e>
                        <m:r>
                          <a:rPr lang="en-ID" sz="1050" b="0" i="1">
                            <a:latin typeface="Cambria Math" panose="02040503050406030204" pitchFamily="18" charset="0"/>
                          </a:rPr>
                          <m:t>350</m:t>
                        </m:r>
                        <m:r>
                          <a:rPr lang="en-ID" sz="1050" b="0" i="1">
                            <a:latin typeface="Cambria Math" panose="02040503050406030204" pitchFamily="18" charset="0"/>
                            <a:ea typeface="Cambria Math" panose="02040503050406030204" pitchFamily="18" charset="0"/>
                          </a:rPr>
                          <m:t>×</m:t>
                        </m:r>
                        <m:r>
                          <a:rPr lang="en-ID" sz="1050" b="0" i="1">
                            <a:latin typeface="Cambria Math" panose="02040503050406030204" pitchFamily="18" charset="0"/>
                            <a:ea typeface="Cambria Math" panose="02040503050406030204" pitchFamily="18" charset="0"/>
                          </a:rPr>
                          <m:t>𝑊𝐶</m:t>
                        </m:r>
                        <m:r>
                          <a:rPr lang="en-ID" sz="1050" b="0" i="1">
                            <a:latin typeface="Cambria Math" panose="02040503050406030204" pitchFamily="18" charset="0"/>
                            <a:ea typeface="Cambria Math" panose="02040503050406030204" pitchFamily="18" charset="0"/>
                          </a:rPr>
                          <m:t>×</m:t>
                        </m:r>
                        <m:r>
                          <a:rPr lang="en-ID" sz="1050" b="0" i="1">
                            <a:latin typeface="Cambria Math" panose="02040503050406030204" pitchFamily="18" charset="0"/>
                            <a:ea typeface="Cambria Math" panose="02040503050406030204" pitchFamily="18" charset="0"/>
                          </a:rPr>
                          <m:t>𝑆𝐺𝑤</m:t>
                        </m:r>
                      </m:e>
                    </m:d>
                    <m:r>
                      <a:rPr lang="en-ID" sz="1050" b="0" i="1">
                        <a:latin typeface="Cambria Math" panose="02040503050406030204" pitchFamily="18" charset="0"/>
                        <a:ea typeface="Cambria Math" panose="02040503050406030204" pitchFamily="18" charset="0"/>
                      </a:rPr>
                      <m:t>+</m:t>
                    </m:r>
                    <m:d>
                      <m:dPr>
                        <m:ctrlPr>
                          <a:rPr lang="en-ID" sz="1050" b="0" i="1">
                            <a:latin typeface="Cambria Math" panose="02040503050406030204" pitchFamily="18" charset="0"/>
                            <a:ea typeface="Cambria Math" panose="02040503050406030204" pitchFamily="18" charset="0"/>
                          </a:rPr>
                        </m:ctrlPr>
                      </m:dPr>
                      <m:e>
                        <m:r>
                          <a:rPr lang="en-ID" sz="1050" b="0" i="1">
                            <a:latin typeface="Cambria Math" panose="02040503050406030204" pitchFamily="18" charset="0"/>
                            <a:ea typeface="Cambria Math" panose="02040503050406030204" pitchFamily="18" charset="0"/>
                          </a:rPr>
                          <m:t>350×</m:t>
                        </m:r>
                        <m:d>
                          <m:dPr>
                            <m:ctrlPr>
                              <a:rPr lang="en-ID" sz="1050" b="0" i="1">
                                <a:latin typeface="Cambria Math" panose="02040503050406030204" pitchFamily="18" charset="0"/>
                                <a:ea typeface="Cambria Math" panose="02040503050406030204" pitchFamily="18" charset="0"/>
                              </a:rPr>
                            </m:ctrlPr>
                          </m:dPr>
                          <m:e>
                            <m:r>
                              <a:rPr lang="en-ID" sz="1050" b="0" i="1">
                                <a:latin typeface="Cambria Math" panose="02040503050406030204" pitchFamily="18" charset="0"/>
                                <a:ea typeface="Cambria Math" panose="02040503050406030204" pitchFamily="18" charset="0"/>
                              </a:rPr>
                              <m:t>1−</m:t>
                            </m:r>
                            <m:r>
                              <a:rPr lang="en-ID" sz="1050" b="0" i="1">
                                <a:latin typeface="Cambria Math" panose="02040503050406030204" pitchFamily="18" charset="0"/>
                                <a:ea typeface="Cambria Math" panose="02040503050406030204" pitchFamily="18" charset="0"/>
                              </a:rPr>
                              <m:t>𝑊𝐶</m:t>
                            </m:r>
                          </m:e>
                        </m:d>
                        <m:r>
                          <a:rPr lang="en-ID" sz="1050" b="0" i="1">
                            <a:latin typeface="Cambria Math" panose="02040503050406030204" pitchFamily="18" charset="0"/>
                            <a:ea typeface="Cambria Math" panose="02040503050406030204" pitchFamily="18" charset="0"/>
                          </a:rPr>
                          <m:t>×</m:t>
                        </m:r>
                        <m:r>
                          <a:rPr lang="en-ID" sz="1050" b="0" i="1">
                            <a:latin typeface="Cambria Math" panose="02040503050406030204" pitchFamily="18" charset="0"/>
                            <a:ea typeface="Cambria Math" panose="02040503050406030204" pitchFamily="18" charset="0"/>
                          </a:rPr>
                          <m:t>𝑆𝐺𝑜</m:t>
                        </m:r>
                      </m:e>
                    </m:d>
                  </m:oMath>
                </m:oMathPara>
              </a14:m>
              <a:endParaRPr lang="en-ID" sz="1050" b="0">
                <a:ea typeface="Cambria Math" panose="02040503050406030204" pitchFamily="18" charset="0"/>
              </a:endParaRPr>
            </a:p>
            <a:p>
              <a:endParaRPr lang="id-ID" sz="1050"/>
            </a:p>
            <a:p>
              <a:endParaRPr lang="en-ID" sz="1050"/>
            </a:p>
          </xdr:txBody>
        </xdr:sp>
      </mc:Choice>
      <mc:Fallback xmlns="">
        <xdr:sp macro="" textlink="">
          <xdr:nvSpPr>
            <xdr:cNvPr id="2" name="TextBox 1">
              <a:extLst>
                <a:ext uri="{FF2B5EF4-FFF2-40B4-BE49-F238E27FC236}">
                  <a16:creationId xmlns="" xmlns:a16="http://schemas.microsoft.com/office/drawing/2014/main" xmlns:a14="http://schemas.microsoft.com/office/drawing/2010/main" id="{00000000-0008-0000-0500-000002000000}"/>
                </a:ext>
              </a:extLst>
            </xdr:cNvPr>
            <xdr:cNvSpPr txBox="1"/>
          </xdr:nvSpPr>
          <xdr:spPr>
            <a:xfrm>
              <a:off x="1328737" y="4814887"/>
              <a:ext cx="2890838" cy="1952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ID" sz="1050" b="0" i="0">
                  <a:latin typeface="Cambria Math" panose="02040503050406030204" pitchFamily="18" charset="0"/>
                </a:rPr>
                <a:t>(350</a:t>
              </a:r>
              <a:r>
                <a:rPr lang="en-ID" sz="1050" b="0" i="0">
                  <a:latin typeface="Cambria Math" panose="02040503050406030204" pitchFamily="18" charset="0"/>
                  <a:ea typeface="Cambria Math" panose="02040503050406030204" pitchFamily="18" charset="0"/>
                </a:rPr>
                <a:t>×𝑊𝐶×𝑆𝐺𝑤)+(350×(1−𝑊𝐶)×𝑆𝐺𝑜)</a:t>
              </a:r>
              <a:endParaRPr lang="en-ID" sz="1050" b="0">
                <a:ea typeface="Cambria Math" panose="02040503050406030204" pitchFamily="18" charset="0"/>
              </a:endParaRPr>
            </a:p>
            <a:p>
              <a:endParaRPr lang="id-ID" sz="1050"/>
            </a:p>
            <a:p>
              <a:endParaRPr lang="en-ID" sz="1050"/>
            </a:p>
          </xdr:txBody>
        </xdr:sp>
      </mc:Fallback>
    </mc:AlternateContent>
    <xdr:clientData/>
  </xdr:oneCellAnchor>
  <xdr:twoCellAnchor>
    <xdr:from>
      <xdr:col>7</xdr:col>
      <xdr:colOff>12871</xdr:colOff>
      <xdr:row>44</xdr:row>
      <xdr:rowOff>12872</xdr:rowOff>
    </xdr:from>
    <xdr:to>
      <xdr:col>16</xdr:col>
      <xdr:colOff>22412</xdr:colOff>
      <xdr:row>62</xdr:row>
      <xdr:rowOff>138493</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542193</xdr:colOff>
      <xdr:row>56</xdr:row>
      <xdr:rowOff>45578</xdr:rowOff>
    </xdr:from>
    <xdr:to>
      <xdr:col>11</xdr:col>
      <xdr:colOff>264860</xdr:colOff>
      <xdr:row>56</xdr:row>
      <xdr:rowOff>58616</xdr:rowOff>
    </xdr:to>
    <xdr:cxnSp macro="">
      <xdr:nvCxnSpPr>
        <xdr:cNvPr id="4" name="Straight Connector 3">
          <a:extLst>
            <a:ext uri="{FF2B5EF4-FFF2-40B4-BE49-F238E27FC236}">
              <a16:creationId xmlns:a16="http://schemas.microsoft.com/office/drawing/2014/main" id="{00000000-0008-0000-0800-000004000000}"/>
            </a:ext>
          </a:extLst>
        </xdr:cNvPr>
        <xdr:cNvCxnSpPr/>
      </xdr:nvCxnSpPr>
      <xdr:spPr>
        <a:xfrm flipV="1">
          <a:off x="5224097" y="10779520"/>
          <a:ext cx="2902551" cy="13038"/>
        </a:xfrm>
        <a:prstGeom prst="line">
          <a:avLst/>
        </a:prstGeom>
        <a:ln w="19050">
          <a:headEnd type="arrow"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249116</xdr:colOff>
      <xdr:row>56</xdr:row>
      <xdr:rowOff>36635</xdr:rowOff>
    </xdr:from>
    <xdr:to>
      <xdr:col>11</xdr:col>
      <xdr:colOff>249116</xdr:colOff>
      <xdr:row>60</xdr:row>
      <xdr:rowOff>36635</xdr:rowOff>
    </xdr:to>
    <xdr:cxnSp macro="">
      <xdr:nvCxnSpPr>
        <xdr:cNvPr id="5" name="Straight Connector 4">
          <a:extLst>
            <a:ext uri="{FF2B5EF4-FFF2-40B4-BE49-F238E27FC236}">
              <a16:creationId xmlns:a16="http://schemas.microsoft.com/office/drawing/2014/main" id="{00000000-0008-0000-0800-000005000000}"/>
            </a:ext>
          </a:extLst>
        </xdr:cNvPr>
        <xdr:cNvCxnSpPr/>
      </xdr:nvCxnSpPr>
      <xdr:spPr>
        <a:xfrm>
          <a:off x="8110904" y="10770577"/>
          <a:ext cx="0" cy="762000"/>
        </a:xfrm>
        <a:prstGeom prst="line">
          <a:avLst/>
        </a:prstGeom>
        <a:ln w="19050">
          <a:headEnd type="arrow"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1394</xdr:colOff>
      <xdr:row>54</xdr:row>
      <xdr:rowOff>91641</xdr:rowOff>
    </xdr:from>
    <xdr:to>
      <xdr:col>9</xdr:col>
      <xdr:colOff>205154</xdr:colOff>
      <xdr:row>55</xdr:row>
      <xdr:rowOff>174491</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5291432" y="10444583"/>
          <a:ext cx="811895" cy="273350"/>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id-ID" sz="1100"/>
            <a:t>Pwf = 998</a:t>
          </a:r>
          <a:endParaRPr lang="en-ID" sz="1100"/>
        </a:p>
      </xdr:txBody>
    </xdr:sp>
    <xdr:clientData/>
  </xdr:twoCellAnchor>
  <xdr:twoCellAnchor>
    <xdr:from>
      <xdr:col>10</xdr:col>
      <xdr:colOff>470928</xdr:colOff>
      <xdr:row>58</xdr:row>
      <xdr:rowOff>111625</xdr:rowOff>
    </xdr:from>
    <xdr:to>
      <xdr:col>11</xdr:col>
      <xdr:colOff>205153</xdr:colOff>
      <xdr:row>60</xdr:row>
      <xdr:rowOff>4876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6977236" y="11226567"/>
          <a:ext cx="1089705" cy="274251"/>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id-ID" sz="1100"/>
            <a:t>Q target = 6000</a:t>
          </a:r>
          <a:endParaRPr lang="en-ID" sz="1100"/>
        </a:p>
      </xdr:txBody>
    </xdr:sp>
    <xdr:clientData/>
  </xdr:twoCellAnchor>
  <xdr:twoCellAnchor editAs="oneCell">
    <xdr:from>
      <xdr:col>7</xdr:col>
      <xdr:colOff>314284</xdr:colOff>
      <xdr:row>112</xdr:row>
      <xdr:rowOff>167280</xdr:rowOff>
    </xdr:from>
    <xdr:to>
      <xdr:col>16</xdr:col>
      <xdr:colOff>240326</xdr:colOff>
      <xdr:row>135</xdr:row>
      <xdr:rowOff>131607</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9284" y="21910909"/>
          <a:ext cx="6194108" cy="4440053"/>
        </a:xfrm>
        <a:prstGeom prst="rect">
          <a:avLst/>
        </a:prstGeom>
      </xdr:spPr>
    </xdr:pic>
    <xdr:clientData/>
  </xdr:twoCellAnchor>
  <xdr:twoCellAnchor>
    <xdr:from>
      <xdr:col>8</xdr:col>
      <xdr:colOff>119882</xdr:colOff>
      <xdr:row>127</xdr:row>
      <xdr:rowOff>16854</xdr:rowOff>
    </xdr:from>
    <xdr:to>
      <xdr:col>11</xdr:col>
      <xdr:colOff>225093</xdr:colOff>
      <xdr:row>127</xdr:row>
      <xdr:rowOff>16854</xdr:rowOff>
    </xdr:to>
    <xdr:cxnSp macro="">
      <xdr:nvCxnSpPr>
        <xdr:cNvPr id="18" name="Straight Connector 17">
          <a:extLst>
            <a:ext uri="{FF2B5EF4-FFF2-40B4-BE49-F238E27FC236}">
              <a16:creationId xmlns:a16="http://schemas.microsoft.com/office/drawing/2014/main" id="{00000000-0008-0000-0800-000012000000}"/>
            </a:ext>
          </a:extLst>
        </xdr:cNvPr>
        <xdr:cNvCxnSpPr/>
      </xdr:nvCxnSpPr>
      <xdr:spPr>
        <a:xfrm>
          <a:off x="5179398" y="24679435"/>
          <a:ext cx="2686179"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219731</xdr:colOff>
      <xdr:row>122</xdr:row>
      <xdr:rowOff>41366</xdr:rowOff>
    </xdr:from>
    <xdr:to>
      <xdr:col>11</xdr:col>
      <xdr:colOff>219731</xdr:colOff>
      <xdr:row>135</xdr:row>
      <xdr:rowOff>127094</xdr:rowOff>
    </xdr:to>
    <xdr:cxnSp macro="">
      <xdr:nvCxnSpPr>
        <xdr:cNvPr id="19" name="Straight Connector 18">
          <a:extLst>
            <a:ext uri="{FF2B5EF4-FFF2-40B4-BE49-F238E27FC236}">
              <a16:creationId xmlns:a16="http://schemas.microsoft.com/office/drawing/2014/main" id="{00000000-0008-0000-0800-000013000000}"/>
            </a:ext>
          </a:extLst>
        </xdr:cNvPr>
        <xdr:cNvCxnSpPr/>
      </xdr:nvCxnSpPr>
      <xdr:spPr>
        <a:xfrm>
          <a:off x="7860215" y="23730963"/>
          <a:ext cx="0" cy="261548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214883</xdr:colOff>
      <xdr:row>122</xdr:row>
      <xdr:rowOff>41641</xdr:rowOff>
    </xdr:from>
    <xdr:to>
      <xdr:col>15</xdr:col>
      <xdr:colOff>302390</xdr:colOff>
      <xdr:row>122</xdr:row>
      <xdr:rowOff>41641</xdr:rowOff>
    </xdr:to>
    <xdr:cxnSp macro="">
      <xdr:nvCxnSpPr>
        <xdr:cNvPr id="20" name="Straight Connector 19">
          <a:extLst>
            <a:ext uri="{FF2B5EF4-FFF2-40B4-BE49-F238E27FC236}">
              <a16:creationId xmlns:a16="http://schemas.microsoft.com/office/drawing/2014/main" id="{00000000-0008-0000-0800-000014000000}"/>
            </a:ext>
          </a:extLst>
        </xdr:cNvPr>
        <xdr:cNvCxnSpPr/>
      </xdr:nvCxnSpPr>
      <xdr:spPr>
        <a:xfrm>
          <a:off x="7855367" y="23731238"/>
          <a:ext cx="2545571"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217386</xdr:colOff>
      <xdr:row>129</xdr:row>
      <xdr:rowOff>190340</xdr:rowOff>
    </xdr:from>
    <xdr:to>
      <xdr:col>15</xdr:col>
      <xdr:colOff>328414</xdr:colOff>
      <xdr:row>129</xdr:row>
      <xdr:rowOff>190340</xdr:rowOff>
    </xdr:to>
    <xdr:cxnSp macro="">
      <xdr:nvCxnSpPr>
        <xdr:cNvPr id="21" name="Straight Connector 20">
          <a:extLst>
            <a:ext uri="{FF2B5EF4-FFF2-40B4-BE49-F238E27FC236}">
              <a16:creationId xmlns:a16="http://schemas.microsoft.com/office/drawing/2014/main" id="{00000000-0008-0000-0800-000015000000}"/>
            </a:ext>
          </a:extLst>
        </xdr:cNvPr>
        <xdr:cNvCxnSpPr/>
      </xdr:nvCxnSpPr>
      <xdr:spPr>
        <a:xfrm>
          <a:off x="7857870" y="25242114"/>
          <a:ext cx="2569092"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1339192</xdr:colOff>
      <xdr:row>134</xdr:row>
      <xdr:rowOff>165476</xdr:rowOff>
    </xdr:from>
    <xdr:to>
      <xdr:col>11</xdr:col>
      <xdr:colOff>481126</xdr:colOff>
      <xdr:row>136</xdr:row>
      <xdr:rowOff>70478</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627740" y="26190234"/>
          <a:ext cx="493870" cy="29419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2000</a:t>
          </a:r>
        </a:p>
      </xdr:txBody>
    </xdr:sp>
    <xdr:clientData/>
  </xdr:twoCellAnchor>
  <xdr:twoCellAnchor>
    <xdr:from>
      <xdr:col>7</xdr:col>
      <xdr:colOff>369029</xdr:colOff>
      <xdr:row>126</xdr:row>
      <xdr:rowOff>53288</xdr:rowOff>
    </xdr:from>
    <xdr:to>
      <xdr:col>8</xdr:col>
      <xdr:colOff>243065</xdr:colOff>
      <xdr:row>127</xdr:row>
      <xdr:rowOff>152887</xdr:rowOff>
    </xdr:to>
    <xdr:sp macro="" textlink="">
      <xdr:nvSpPr>
        <xdr:cNvPr id="23" name="TextBox 22">
          <a:extLst>
            <a:ext uri="{FF2B5EF4-FFF2-40B4-BE49-F238E27FC236}">
              <a16:creationId xmlns:a16="http://schemas.microsoft.com/office/drawing/2014/main" id="{00000000-0008-0000-0800-000017000000}"/>
            </a:ext>
          </a:extLst>
        </xdr:cNvPr>
        <xdr:cNvSpPr txBox="1"/>
      </xdr:nvSpPr>
      <xdr:spPr>
        <a:xfrm>
          <a:off x="4814029" y="24521272"/>
          <a:ext cx="488552" cy="29419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19</a:t>
          </a:r>
        </a:p>
      </xdr:txBody>
    </xdr:sp>
    <xdr:clientData/>
  </xdr:twoCellAnchor>
  <xdr:twoCellAnchor>
    <xdr:from>
      <xdr:col>15</xdr:col>
      <xdr:colOff>260314</xdr:colOff>
      <xdr:row>129</xdr:row>
      <xdr:rowOff>28416</xdr:rowOff>
    </xdr:from>
    <xdr:to>
      <xdr:col>16</xdr:col>
      <xdr:colOff>139890</xdr:colOff>
      <xdr:row>130</xdr:row>
      <xdr:rowOff>125933</xdr:rowOff>
    </xdr:to>
    <xdr:sp macro="" textlink="">
      <xdr:nvSpPr>
        <xdr:cNvPr id="24" name="TextBox 23">
          <a:extLst>
            <a:ext uri="{FF2B5EF4-FFF2-40B4-BE49-F238E27FC236}">
              <a16:creationId xmlns:a16="http://schemas.microsoft.com/office/drawing/2014/main" id="{00000000-0008-0000-0800-000018000000}"/>
            </a:ext>
          </a:extLst>
        </xdr:cNvPr>
        <xdr:cNvSpPr txBox="1"/>
      </xdr:nvSpPr>
      <xdr:spPr>
        <a:xfrm>
          <a:off x="10358862" y="25080190"/>
          <a:ext cx="494093" cy="29211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0,44</a:t>
          </a:r>
        </a:p>
      </xdr:txBody>
    </xdr:sp>
    <xdr:clientData/>
  </xdr:twoCellAnchor>
  <xdr:twoCellAnchor>
    <xdr:from>
      <xdr:col>15</xdr:col>
      <xdr:colOff>281059</xdr:colOff>
      <xdr:row>121</xdr:row>
      <xdr:rowOff>82413</xdr:rowOff>
    </xdr:from>
    <xdr:to>
      <xdr:col>16</xdr:col>
      <xdr:colOff>160635</xdr:colOff>
      <xdr:row>122</xdr:row>
      <xdr:rowOff>181945</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10379607" y="23577413"/>
          <a:ext cx="494093" cy="29412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65%</a:t>
          </a:r>
        </a:p>
      </xdr:txBody>
    </xdr:sp>
    <xdr:clientData/>
  </xdr:twoCellAnchor>
  <xdr:twoCellAnchor editAs="oneCell">
    <xdr:from>
      <xdr:col>18</xdr:col>
      <xdr:colOff>285750</xdr:colOff>
      <xdr:row>40</xdr:row>
      <xdr:rowOff>176493</xdr:rowOff>
    </xdr:from>
    <xdr:to>
      <xdr:col>31</xdr:col>
      <xdr:colOff>587375</xdr:colOff>
      <xdr:row>65</xdr:row>
      <xdr:rowOff>71719</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44132" y="7796493"/>
          <a:ext cx="8168155" cy="4758578"/>
        </a:xfrm>
        <a:prstGeom prst="rect">
          <a:avLst/>
        </a:prstGeom>
      </xdr:spPr>
    </xdr:pic>
    <xdr:clientData/>
  </xdr:twoCellAnchor>
  <xdr:twoCellAnchor>
    <xdr:from>
      <xdr:col>25</xdr:col>
      <xdr:colOff>496373</xdr:colOff>
      <xdr:row>54</xdr:row>
      <xdr:rowOff>73785</xdr:rowOff>
    </xdr:from>
    <xdr:to>
      <xdr:col>25</xdr:col>
      <xdr:colOff>503081</xdr:colOff>
      <xdr:row>61</xdr:row>
      <xdr:rowOff>20124</xdr:rowOff>
    </xdr:to>
    <xdr:cxnSp macro="">
      <xdr:nvCxnSpPr>
        <xdr:cNvPr id="13" name="Straight Arrow Connector 12">
          <a:extLst>
            <a:ext uri="{FF2B5EF4-FFF2-40B4-BE49-F238E27FC236}">
              <a16:creationId xmlns:a16="http://schemas.microsoft.com/office/drawing/2014/main" id="{00000000-0008-0000-0800-00000D000000}"/>
            </a:ext>
          </a:extLst>
        </xdr:cNvPr>
        <xdr:cNvCxnSpPr/>
      </xdr:nvCxnSpPr>
      <xdr:spPr>
        <a:xfrm flipH="1" flipV="1">
          <a:off x="17010845" y="10336637"/>
          <a:ext cx="6708" cy="1261057"/>
        </a:xfrm>
        <a:prstGeom prst="straightConnector1">
          <a:avLst/>
        </a:prstGeom>
        <a:ln w="38100">
          <a:solidFill>
            <a:schemeClr val="accent2">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241479</xdr:colOff>
      <xdr:row>54</xdr:row>
      <xdr:rowOff>73786</xdr:rowOff>
    </xdr:from>
    <xdr:to>
      <xdr:col>25</xdr:col>
      <xdr:colOff>503081</xdr:colOff>
      <xdr:row>54</xdr:row>
      <xdr:rowOff>73786</xdr:rowOff>
    </xdr:to>
    <xdr:cxnSp macro="">
      <xdr:nvCxnSpPr>
        <xdr:cNvPr id="15" name="Straight Arrow Connector 14">
          <a:extLst>
            <a:ext uri="{FF2B5EF4-FFF2-40B4-BE49-F238E27FC236}">
              <a16:creationId xmlns:a16="http://schemas.microsoft.com/office/drawing/2014/main" id="{00000000-0008-0000-0800-00000F000000}"/>
            </a:ext>
          </a:extLst>
        </xdr:cNvPr>
        <xdr:cNvCxnSpPr/>
      </xdr:nvCxnSpPr>
      <xdr:spPr>
        <a:xfrm flipH="1">
          <a:off x="13093521" y="10336638"/>
          <a:ext cx="3924032" cy="0"/>
        </a:xfrm>
        <a:prstGeom prst="straightConnector1">
          <a:avLst/>
        </a:prstGeom>
        <a:ln w="38100">
          <a:solidFill>
            <a:schemeClr val="accent2">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476252</xdr:colOff>
      <xdr:row>53</xdr:row>
      <xdr:rowOff>6708</xdr:rowOff>
    </xdr:from>
    <xdr:to>
      <xdr:col>19</xdr:col>
      <xdr:colOff>214649</xdr:colOff>
      <xdr:row>54</xdr:row>
      <xdr:rowOff>80493</xdr:rowOff>
    </xdr:to>
    <xdr:sp macro="" textlink="">
      <xdr:nvSpPr>
        <xdr:cNvPr id="16" name="Rectangle 15">
          <a:extLst>
            <a:ext uri="{FF2B5EF4-FFF2-40B4-BE49-F238E27FC236}">
              <a16:creationId xmlns:a16="http://schemas.microsoft.com/office/drawing/2014/main" id="{00000000-0008-0000-0800-000010000000}"/>
            </a:ext>
          </a:extLst>
        </xdr:cNvPr>
        <xdr:cNvSpPr/>
      </xdr:nvSpPr>
      <xdr:spPr>
        <a:xfrm>
          <a:off x="12717889" y="10081743"/>
          <a:ext cx="348802" cy="26160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id-ID" sz="1100"/>
            <a:t>26</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142872</xdr:colOff>
      <xdr:row>1</xdr:row>
      <xdr:rowOff>71436</xdr:rowOff>
    </xdr:from>
    <xdr:to>
      <xdr:col>1</xdr:col>
      <xdr:colOff>904875</xdr:colOff>
      <xdr:row>3</xdr:row>
      <xdr:rowOff>52386</xdr:rowOff>
    </xdr:to>
    <xdr:pic>
      <xdr:nvPicPr>
        <xdr:cNvPr id="2" name="Picture 18">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142872" y="261936"/>
          <a:ext cx="2076453" cy="361950"/>
        </a:xfrm>
        <a:prstGeom prst="rect">
          <a:avLst/>
        </a:prstGeom>
        <a:noFill/>
      </xdr:spPr>
    </xdr:pic>
    <xdr:clientData/>
  </xdr:twoCellAnchor>
  <xdr:twoCellAnchor>
    <xdr:from>
      <xdr:col>0</xdr:col>
      <xdr:colOff>142872</xdr:colOff>
      <xdr:row>3</xdr:row>
      <xdr:rowOff>71436</xdr:rowOff>
    </xdr:from>
    <xdr:to>
      <xdr:col>1</xdr:col>
      <xdr:colOff>1076324</xdr:colOff>
      <xdr:row>5</xdr:row>
      <xdr:rowOff>90486</xdr:rowOff>
    </xdr:to>
    <xdr:pic>
      <xdr:nvPicPr>
        <xdr:cNvPr id="3" name="Picture 19">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bwMode="auto">
        <a:xfrm>
          <a:off x="142872" y="642936"/>
          <a:ext cx="2247902" cy="400050"/>
        </a:xfrm>
        <a:prstGeom prst="rect">
          <a:avLst/>
        </a:prstGeom>
        <a:noFill/>
      </xdr:spPr>
    </xdr:pic>
    <xdr:clientData/>
  </xdr:twoCellAnchor>
  <xdr:twoCellAnchor>
    <xdr:from>
      <xdr:col>0</xdr:col>
      <xdr:colOff>142871</xdr:colOff>
      <xdr:row>5</xdr:row>
      <xdr:rowOff>71436</xdr:rowOff>
    </xdr:from>
    <xdr:to>
      <xdr:col>1</xdr:col>
      <xdr:colOff>1076325</xdr:colOff>
      <xdr:row>7</xdr:row>
      <xdr:rowOff>90486</xdr:rowOff>
    </xdr:to>
    <xdr:pic>
      <xdr:nvPicPr>
        <xdr:cNvPr id="4" name="Picture 2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blip>
        <a:srcRect/>
        <a:stretch>
          <a:fillRect/>
        </a:stretch>
      </xdr:blipFill>
      <xdr:spPr bwMode="auto">
        <a:xfrm>
          <a:off x="142871" y="1023936"/>
          <a:ext cx="2247904" cy="400050"/>
        </a:xfrm>
        <a:prstGeom prst="rect">
          <a:avLst/>
        </a:prstGeom>
        <a:noFill/>
      </xdr:spPr>
    </xdr:pic>
    <xdr:clientData/>
  </xdr:twoCellAnchor>
  <xdr:twoCellAnchor editAs="oneCell">
    <xdr:from>
      <xdr:col>22</xdr:col>
      <xdr:colOff>554753</xdr:colOff>
      <xdr:row>2</xdr:row>
      <xdr:rowOff>125604</xdr:rowOff>
    </xdr:from>
    <xdr:to>
      <xdr:col>32</xdr:col>
      <xdr:colOff>574708</xdr:colOff>
      <xdr:row>28</xdr:row>
      <xdr:rowOff>66825</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531484" y="502417"/>
          <a:ext cx="6854927" cy="4913062"/>
        </a:xfrm>
        <a:prstGeom prst="rect">
          <a:avLst/>
        </a:prstGeom>
      </xdr:spPr>
    </xdr:pic>
    <xdr:clientData/>
  </xdr:twoCellAnchor>
  <xdr:twoCellAnchor>
    <xdr:from>
      <xdr:col>23</xdr:col>
      <xdr:colOff>397747</xdr:colOff>
      <xdr:row>20</xdr:row>
      <xdr:rowOff>79024</xdr:rowOff>
    </xdr:from>
    <xdr:to>
      <xdr:col>28</xdr:col>
      <xdr:colOff>31401</xdr:colOff>
      <xdr:row>20</xdr:row>
      <xdr:rowOff>79024</xdr:rowOff>
    </xdr:to>
    <xdr:cxnSp macro="">
      <xdr:nvCxnSpPr>
        <xdr:cNvPr id="7" name="Straight Connector 6">
          <a:extLst>
            <a:ext uri="{FF2B5EF4-FFF2-40B4-BE49-F238E27FC236}">
              <a16:creationId xmlns:a16="http://schemas.microsoft.com/office/drawing/2014/main" id="{00000000-0008-0000-0900-000007000000}"/>
            </a:ext>
          </a:extLst>
        </xdr:cNvPr>
        <xdr:cNvCxnSpPr/>
      </xdr:nvCxnSpPr>
      <xdr:spPr>
        <a:xfrm>
          <a:off x="19981566" y="3868090"/>
          <a:ext cx="343318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18694</xdr:colOff>
      <xdr:row>20</xdr:row>
      <xdr:rowOff>73269</xdr:rowOff>
    </xdr:from>
    <xdr:to>
      <xdr:col>28</xdr:col>
      <xdr:colOff>18694</xdr:colOff>
      <xdr:row>28</xdr:row>
      <xdr:rowOff>31401</xdr:rowOff>
    </xdr:to>
    <xdr:cxnSp macro="">
      <xdr:nvCxnSpPr>
        <xdr:cNvPr id="9" name="Straight Connector 8">
          <a:extLst>
            <a:ext uri="{FF2B5EF4-FFF2-40B4-BE49-F238E27FC236}">
              <a16:creationId xmlns:a16="http://schemas.microsoft.com/office/drawing/2014/main" id="{00000000-0008-0000-0900-000009000000}"/>
            </a:ext>
          </a:extLst>
        </xdr:cNvPr>
        <xdr:cNvCxnSpPr/>
      </xdr:nvCxnSpPr>
      <xdr:spPr>
        <a:xfrm>
          <a:off x="23402046" y="3862335"/>
          <a:ext cx="0" cy="151772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523352</xdr:colOff>
      <xdr:row>19</xdr:row>
      <xdr:rowOff>136072</xdr:rowOff>
    </xdr:from>
    <xdr:to>
      <xdr:col>23</xdr:col>
      <xdr:colOff>501981</xdr:colOff>
      <xdr:row>21</xdr:row>
      <xdr:rowOff>12834</xdr:rowOff>
    </xdr:to>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9500083" y="3726264"/>
          <a:ext cx="585717" cy="274510"/>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ID" sz="1100"/>
            <a:t>15</a:t>
          </a:r>
        </a:p>
      </xdr:txBody>
    </xdr:sp>
    <xdr:clientData/>
  </xdr:twoCellAnchor>
  <xdr:twoCellAnchor>
    <xdr:from>
      <xdr:col>27</xdr:col>
      <xdr:colOff>330340</xdr:colOff>
      <xdr:row>27</xdr:row>
      <xdr:rowOff>100066</xdr:rowOff>
    </xdr:from>
    <xdr:to>
      <xdr:col>28</xdr:col>
      <xdr:colOff>308969</xdr:colOff>
      <xdr:row>28</xdr:row>
      <xdr:rowOff>186169</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23106604" y="5260313"/>
          <a:ext cx="585717" cy="274510"/>
        </a:xfrm>
        <a:prstGeom prst="rect">
          <a:avLst/>
        </a:prstGeom>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ID" sz="1100"/>
            <a:t>2400</a:t>
          </a:r>
        </a:p>
      </xdr:txBody>
    </xdr:sp>
    <xdr:clientData/>
  </xdr:twoCellAnchor>
  <xdr:twoCellAnchor>
    <xdr:from>
      <xdr:col>23</xdr:col>
      <xdr:colOff>-1</xdr:colOff>
      <xdr:row>32</xdr:row>
      <xdr:rowOff>196102</xdr:rowOff>
    </xdr:from>
    <xdr:to>
      <xdr:col>35</xdr:col>
      <xdr:colOff>392205</xdr:colOff>
      <xdr:row>61</xdr:row>
      <xdr:rowOff>154080</xdr:rowOff>
    </xdr:to>
    <xdr:graphicFrame macro="">
      <xdr:nvGraphicFramePr>
        <xdr:cNvPr id="10" name="Chart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JULOCUT\JULOAP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tor\Desktop\Start%20Up\Documents%20and%20Settings\mulad%20winarno.IND\My%20Documents\My%20Documents\WORK\WELL%20FILE\FARIDA\FARIDA%20A\Other\AFE\AFE%20FARA-14st_Add%20Perf%20(Re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nthonyHooper\My%20Documents\Clients\CNOOC\Widuri\H-16\Widuri%20H-16%20HRW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dministrator\Desktop\Start%20Up\PACKAGE%20Water%20Injection\Installation%20Report\WIDC-CAN\WIDC%20CAN%20A\2nd%20RIH%20Powerlift%202012-10\PDO%20Quotes\Quot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strachkx\My%20Documents\Borets%20field%20Paperwork\Sheet%20to%20use\Oman\Borets%20Seven%20Seas%20repo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P45\T\file%20skripsi\TESIS%20RFB\new\pump%20sizing%20for%20INTB-12S%20%202020-08%20(Rate%206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P45\T\file%20skripsi\TESIS%20RFB\new\pump%20design%20for%20INTB-12S%202020-08%20(Rate%206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INTB-12S/Pump%20Desig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Cover"/>
      <sheetName val="Sch19"/>
      <sheetName val="Sch20"/>
      <sheetName val="Break Down"/>
      <sheetName val="Barge time"/>
      <sheetName val="Daily Barge Cost"/>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Pre-Job Data"/>
      <sheetName val="Input Pipe Dimensions"/>
      <sheetName val="Well Diagram"/>
      <sheetName val="Friction"/>
      <sheetName val="Friction 2 Strings"/>
      <sheetName val="Acid Eaton Equation"/>
      <sheetName val="Acid Friction"/>
      <sheetName val="Acid Friction 2 Strings"/>
      <sheetName val="Pop-Offs"/>
      <sheetName val="Return Rates"/>
      <sheetName val="Sand Fall"/>
      <sheetName val="Sand Height"/>
      <sheetName val="Post Job Data"/>
      <sheetName val="Step Rate"/>
      <sheetName val="Sandout"/>
      <sheetName val="Fanning"/>
      <sheetName val="Tubing Data"/>
      <sheetName val="NaCl Brines"/>
      <sheetName val="KCl Brines"/>
      <sheetName val="CaCl2 Brines"/>
    </sheetNames>
    <sheetDataSet>
      <sheetData sheetId="0"/>
      <sheetData sheetId="1"/>
      <sheetData sheetId="2"/>
      <sheetData sheetId="3"/>
      <sheetData sheetId="4"/>
      <sheetData sheetId="5" refreshError="1">
        <row r="4">
          <cell r="C4" t="str">
            <v xml:space="preserve"> </v>
          </cell>
        </row>
        <row r="5">
          <cell r="C5">
            <v>2.0885547201336676E-5</v>
          </cell>
        </row>
      </sheetData>
      <sheetData sheetId="6"/>
      <sheetData sheetId="7"/>
      <sheetData sheetId="8"/>
      <sheetData sheetId="9"/>
      <sheetData sheetId="10"/>
      <sheetData sheetId="11"/>
      <sheetData sheetId="12"/>
      <sheetData sheetId="13" refreshError="1">
        <row r="29">
          <cell r="J29">
            <v>0.5</v>
          </cell>
        </row>
        <row r="32">
          <cell r="J32">
            <v>2999</v>
          </cell>
        </row>
      </sheetData>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OWNHOLE"/>
      <sheetName val="SURFACE"/>
      <sheetName val="PROPOSAL"/>
      <sheetName val="SCHEMATIC"/>
      <sheetName val="SELECTION"/>
      <sheetName val="FIELDLIST"/>
      <sheetName val="REVIEW"/>
      <sheetName val="Macro1"/>
    </sheetNames>
    <sheetDataSet>
      <sheetData sheetId="0"/>
      <sheetData sheetId="1"/>
      <sheetData sheetId="2"/>
      <sheetData sheetId="3"/>
      <sheetData sheetId="4"/>
      <sheetData sheetId="5"/>
      <sheetData sheetId="6">
        <row r="1">
          <cell r="AB1">
            <v>39</v>
          </cell>
        </row>
      </sheetData>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ALLATION"/>
      <sheetName val="COMMISSION"/>
      <sheetName val="PULL OUT"/>
      <sheetName val="ESP INSPECTION"/>
      <sheetName val="7 DAYS MONITORING"/>
      <sheetName val="JOB REPORT"/>
      <sheetName val="FIELD SERVICE"/>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Calculation"/>
      <sheetName val="Pump Sizing"/>
    </sheetNames>
    <sheetDataSet>
      <sheetData sheetId="0">
        <row r="51">
          <cell r="B51">
            <v>0.76004703593961098</v>
          </cell>
        </row>
      </sheetData>
      <sheetData sheetId="1">
        <row r="5">
          <cell r="F5" t="str">
            <v>NBU</v>
          </cell>
        </row>
        <row r="9">
          <cell r="B9">
            <v>250</v>
          </cell>
          <cell r="C9">
            <v>196</v>
          </cell>
          <cell r="D9">
            <v>2500</v>
          </cell>
        </row>
        <row r="13">
          <cell r="C13">
            <v>98.8</v>
          </cell>
        </row>
        <row r="17">
          <cell r="B17">
            <v>6000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sheetName val="SVC"/>
      <sheetName val="Delivery Order"/>
      <sheetName val="Operation Order"/>
      <sheetName val="PROPOSED"/>
      <sheetName val="Directional Survey"/>
      <sheetName val="SOP of SOFT-STARTER"/>
      <sheetName val="Well Completion Guide "/>
    </sheetNames>
    <sheetDataSet>
      <sheetData sheetId="0" refreshError="1">
        <row r="21">
          <cell r="B21">
            <v>4097</v>
          </cell>
        </row>
        <row r="22">
          <cell r="B22">
            <v>6000</v>
          </cell>
        </row>
      </sheetData>
      <sheetData sheetId="1" refreshError="1"/>
      <sheetData sheetId="2" refreshError="1">
        <row r="7">
          <cell r="C7" t="str">
            <v>INTB-12</v>
          </cell>
          <cell r="M7" t="str">
            <v xml:space="preserve"> </v>
          </cell>
        </row>
        <row r="8">
          <cell r="C8" t="str">
            <v>NBU</v>
          </cell>
          <cell r="M8" t="str">
            <v>COSL 221</v>
          </cell>
        </row>
        <row r="17">
          <cell r="D17" t="str">
            <v>POWERLIFT Round Cable</v>
          </cell>
        </row>
        <row r="18">
          <cell r="M18">
            <v>82</v>
          </cell>
        </row>
        <row r="20">
          <cell r="E20" t="str">
            <v>QN70</v>
          </cell>
          <cell r="G20">
            <v>73</v>
          </cell>
        </row>
        <row r="21">
          <cell r="G21">
            <v>73</v>
          </cell>
        </row>
        <row r="23">
          <cell r="B23" t="str">
            <v>Intake</v>
          </cell>
        </row>
        <row r="27">
          <cell r="E27">
            <v>273</v>
          </cell>
          <cell r="G27">
            <v>2688</v>
          </cell>
          <cell r="I27">
            <v>58</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sheetName val="SVC"/>
      <sheetName val="Delivery Order"/>
      <sheetName val="Operation Order"/>
      <sheetName val="PROPOSED"/>
      <sheetName val="Directional Survey"/>
      <sheetName val="SOP of SOFT-STARTER"/>
      <sheetName val="Well Completion Guide "/>
    </sheetNames>
    <sheetDataSet>
      <sheetData sheetId="0"/>
      <sheetData sheetId="1"/>
      <sheetData sheetId="2">
        <row r="6">
          <cell r="C6" t="str">
            <v xml:space="preserve">CNOOC SES Ltd. </v>
          </cell>
        </row>
        <row r="7">
          <cell r="C7" t="str">
            <v>INTB-12</v>
          </cell>
          <cell r="M7" t="str">
            <v xml:space="preserve"> </v>
          </cell>
        </row>
        <row r="8">
          <cell r="C8" t="str">
            <v>NBU</v>
          </cell>
        </row>
        <row r="10">
          <cell r="K10" t="str">
            <v>EM 52062-129-040</v>
          </cell>
          <cell r="M10" t="str">
            <v>1EA</v>
          </cell>
        </row>
        <row r="11">
          <cell r="K11" t="str">
            <v>EM 51015-1</v>
          </cell>
          <cell r="M11" t="str">
            <v>1EA</v>
          </cell>
        </row>
        <row r="12">
          <cell r="K12" t="str">
            <v>EM 53013 R18</v>
          </cell>
          <cell r="M12" t="str">
            <v>1EA</v>
          </cell>
        </row>
        <row r="13">
          <cell r="B13" t="str">
            <v>Packer</v>
          </cell>
          <cell r="K13" t="str">
            <v>Packerless</v>
          </cell>
          <cell r="M13" t="str">
            <v>N/A</v>
          </cell>
        </row>
        <row r="14">
          <cell r="D14" t="str">
            <v>Gulf coast for</v>
          </cell>
          <cell r="G14" t="str">
            <v>3 1/2"</v>
          </cell>
          <cell r="I14" t="str">
            <v>TBG</v>
          </cell>
          <cell r="M14" t="str">
            <v>As the barge inventory</v>
          </cell>
        </row>
        <row r="16">
          <cell r="D16" t="str">
            <v>9 5/8"</v>
          </cell>
        </row>
        <row r="17">
          <cell r="D17" t="str">
            <v>POWERLIFT Round Cable</v>
          </cell>
          <cell r="K17" t="str">
            <v xml:space="preserve"> </v>
          </cell>
        </row>
        <row r="18">
          <cell r="D18" t="str">
            <v>POWERLIFT MLE flat / New</v>
          </cell>
          <cell r="K18" t="str">
            <v xml:space="preserve"> </v>
          </cell>
        </row>
        <row r="19">
          <cell r="D19" t="str">
            <v>3 1/2"</v>
          </cell>
        </row>
        <row r="20">
          <cell r="B20" t="str">
            <v>Pump UT:</v>
          </cell>
          <cell r="D20">
            <v>130</v>
          </cell>
          <cell r="E20" t="str">
            <v>QN70</v>
          </cell>
          <cell r="F20" t="str">
            <v>ARC</v>
          </cell>
          <cell r="G20">
            <v>73</v>
          </cell>
          <cell r="H20" t="str">
            <v>STGS</v>
          </cell>
          <cell r="M20">
            <v>22.05</v>
          </cell>
        </row>
        <row r="21">
          <cell r="B21" t="str">
            <v>Pump LT:</v>
          </cell>
          <cell r="D21">
            <v>130</v>
          </cell>
          <cell r="E21" t="str">
            <v>QN70</v>
          </cell>
          <cell r="F21" t="str">
            <v>ARC</v>
          </cell>
          <cell r="G21">
            <v>73</v>
          </cell>
          <cell r="H21" t="str">
            <v>STGS</v>
          </cell>
          <cell r="M21">
            <v>22.05</v>
          </cell>
        </row>
        <row r="23">
          <cell r="B23" t="str">
            <v>Intake</v>
          </cell>
          <cell r="D23">
            <v>130</v>
          </cell>
          <cell r="E23" t="str">
            <v>NI-AR-CCR-AS-N</v>
          </cell>
          <cell r="M23">
            <v>0.77</v>
          </cell>
          <cell r="N23" t="str">
            <v>Anti-corrosion</v>
          </cell>
        </row>
        <row r="24">
          <cell r="B24" t="str">
            <v>Protector DT:</v>
          </cell>
          <cell r="D24">
            <v>130</v>
          </cell>
          <cell r="E24" t="str">
            <v>NPBPBSLST-AR-CCR-PL3-RF-HL-E</v>
          </cell>
          <cell r="M24">
            <v>12.2</v>
          </cell>
          <cell r="N24" t="str">
            <v>Anti-corrosion</v>
          </cell>
        </row>
        <row r="27">
          <cell r="D27">
            <v>143</v>
          </cell>
          <cell r="E27">
            <v>273</v>
          </cell>
          <cell r="F27" t="str">
            <v>HP</v>
          </cell>
          <cell r="G27">
            <v>2688</v>
          </cell>
          <cell r="H27" t="str">
            <v>V</v>
          </cell>
          <cell r="I27">
            <v>58</v>
          </cell>
          <cell r="J27" t="str">
            <v>A</v>
          </cell>
          <cell r="M27">
            <v>27.94</v>
          </cell>
        </row>
        <row r="28">
          <cell r="F28" t="str">
            <v>HP</v>
          </cell>
          <cell r="H28" t="str">
            <v>V</v>
          </cell>
          <cell r="J28" t="str">
            <v>A</v>
          </cell>
        </row>
        <row r="30">
          <cell r="D30" t="str">
            <v>Phoenix</v>
          </cell>
        </row>
        <row r="31">
          <cell r="B31" t="str">
            <v xml:space="preserve">Motor Shroud </v>
          </cell>
          <cell r="D31" t="str">
            <v>N/A</v>
          </cell>
          <cell r="E31" t="str">
            <v>For</v>
          </cell>
          <cell r="F31" t="str">
            <v>9 5/8"</v>
          </cell>
          <cell r="G31" t="str">
            <v>Casing</v>
          </cell>
        </row>
        <row r="33">
          <cell r="D33" t="str">
            <v>9 5/8"</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Volts@Transformer"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7.w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Head@flow/Head%20per%20STG"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O328"/>
  <sheetViews>
    <sheetView showGridLines="0" topLeftCell="A49" zoomScaleNormal="100" workbookViewId="0">
      <selection activeCell="D30" sqref="D30"/>
    </sheetView>
  </sheetViews>
  <sheetFormatPr defaultRowHeight="11.25"/>
  <cols>
    <col min="1" max="1" width="16.42578125" style="688" customWidth="1"/>
    <col min="2" max="2" width="5.7109375" style="688" customWidth="1"/>
    <col min="3" max="3" width="11.5703125" style="688" customWidth="1"/>
    <col min="4" max="4" width="12.7109375" style="688" customWidth="1"/>
    <col min="5" max="6" width="11.7109375" style="688" customWidth="1"/>
    <col min="7" max="7" width="10.85546875" style="688" customWidth="1"/>
    <col min="8" max="8" width="14.28515625" style="688" customWidth="1"/>
    <col min="9" max="9" width="10.7109375" style="688" customWidth="1"/>
    <col min="10" max="10" width="11.7109375" style="688" customWidth="1"/>
    <col min="11" max="11" width="10.7109375" style="688" customWidth="1"/>
    <col min="12" max="12" width="10.7109375" style="750" customWidth="1"/>
    <col min="13" max="13" width="16.28515625" style="688" customWidth="1"/>
    <col min="14" max="14" width="11.140625" style="688" customWidth="1"/>
    <col min="15" max="256" width="9.140625" style="688"/>
    <col min="257" max="257" width="16.42578125" style="688" customWidth="1"/>
    <col min="258" max="258" width="5.7109375" style="688" customWidth="1"/>
    <col min="259" max="259" width="11.5703125" style="688" customWidth="1"/>
    <col min="260" max="260" width="12.7109375" style="688" customWidth="1"/>
    <col min="261" max="262" width="11.7109375" style="688" customWidth="1"/>
    <col min="263" max="263" width="10.85546875" style="688" customWidth="1"/>
    <col min="264" max="264" width="14.28515625" style="688" customWidth="1"/>
    <col min="265" max="265" width="10.7109375" style="688" customWidth="1"/>
    <col min="266" max="266" width="11.7109375" style="688" customWidth="1"/>
    <col min="267" max="268" width="10.7109375" style="688" customWidth="1"/>
    <col min="269" max="269" width="16.28515625" style="688" customWidth="1"/>
    <col min="270" max="270" width="11.140625" style="688" customWidth="1"/>
    <col min="271" max="512" width="9.140625" style="688"/>
    <col min="513" max="513" width="16.42578125" style="688" customWidth="1"/>
    <col min="514" max="514" width="5.7109375" style="688" customWidth="1"/>
    <col min="515" max="515" width="11.5703125" style="688" customWidth="1"/>
    <col min="516" max="516" width="12.7109375" style="688" customWidth="1"/>
    <col min="517" max="518" width="11.7109375" style="688" customWidth="1"/>
    <col min="519" max="519" width="10.85546875" style="688" customWidth="1"/>
    <col min="520" max="520" width="14.28515625" style="688" customWidth="1"/>
    <col min="521" max="521" width="10.7109375" style="688" customWidth="1"/>
    <col min="522" max="522" width="11.7109375" style="688" customWidth="1"/>
    <col min="523" max="524" width="10.7109375" style="688" customWidth="1"/>
    <col min="525" max="525" width="16.28515625" style="688" customWidth="1"/>
    <col min="526" max="526" width="11.140625" style="688" customWidth="1"/>
    <col min="527" max="768" width="9.140625" style="688"/>
    <col min="769" max="769" width="16.42578125" style="688" customWidth="1"/>
    <col min="770" max="770" width="5.7109375" style="688" customWidth="1"/>
    <col min="771" max="771" width="11.5703125" style="688" customWidth="1"/>
    <col min="772" max="772" width="12.7109375" style="688" customWidth="1"/>
    <col min="773" max="774" width="11.7109375" style="688" customWidth="1"/>
    <col min="775" max="775" width="10.85546875" style="688" customWidth="1"/>
    <col min="776" max="776" width="14.28515625" style="688" customWidth="1"/>
    <col min="777" max="777" width="10.7109375" style="688" customWidth="1"/>
    <col min="778" max="778" width="11.7109375" style="688" customWidth="1"/>
    <col min="779" max="780" width="10.7109375" style="688" customWidth="1"/>
    <col min="781" max="781" width="16.28515625" style="688" customWidth="1"/>
    <col min="782" max="782" width="11.140625" style="688" customWidth="1"/>
    <col min="783" max="1024" width="9.140625" style="688"/>
    <col min="1025" max="1025" width="16.42578125" style="688" customWidth="1"/>
    <col min="1026" max="1026" width="5.7109375" style="688" customWidth="1"/>
    <col min="1027" max="1027" width="11.5703125" style="688" customWidth="1"/>
    <col min="1028" max="1028" width="12.7109375" style="688" customWidth="1"/>
    <col min="1029" max="1030" width="11.7109375" style="688" customWidth="1"/>
    <col min="1031" max="1031" width="10.85546875" style="688" customWidth="1"/>
    <col min="1032" max="1032" width="14.28515625" style="688" customWidth="1"/>
    <col min="1033" max="1033" width="10.7109375" style="688" customWidth="1"/>
    <col min="1034" max="1034" width="11.7109375" style="688" customWidth="1"/>
    <col min="1035" max="1036" width="10.7109375" style="688" customWidth="1"/>
    <col min="1037" max="1037" width="16.28515625" style="688" customWidth="1"/>
    <col min="1038" max="1038" width="11.140625" style="688" customWidth="1"/>
    <col min="1039" max="1280" width="9.140625" style="688"/>
    <col min="1281" max="1281" width="16.42578125" style="688" customWidth="1"/>
    <col min="1282" max="1282" width="5.7109375" style="688" customWidth="1"/>
    <col min="1283" max="1283" width="11.5703125" style="688" customWidth="1"/>
    <col min="1284" max="1284" width="12.7109375" style="688" customWidth="1"/>
    <col min="1285" max="1286" width="11.7109375" style="688" customWidth="1"/>
    <col min="1287" max="1287" width="10.85546875" style="688" customWidth="1"/>
    <col min="1288" max="1288" width="14.28515625" style="688" customWidth="1"/>
    <col min="1289" max="1289" width="10.7109375" style="688" customWidth="1"/>
    <col min="1290" max="1290" width="11.7109375" style="688" customWidth="1"/>
    <col min="1291" max="1292" width="10.7109375" style="688" customWidth="1"/>
    <col min="1293" max="1293" width="16.28515625" style="688" customWidth="1"/>
    <col min="1294" max="1294" width="11.140625" style="688" customWidth="1"/>
    <col min="1295" max="1536" width="9.140625" style="688"/>
    <col min="1537" max="1537" width="16.42578125" style="688" customWidth="1"/>
    <col min="1538" max="1538" width="5.7109375" style="688" customWidth="1"/>
    <col min="1539" max="1539" width="11.5703125" style="688" customWidth="1"/>
    <col min="1540" max="1540" width="12.7109375" style="688" customWidth="1"/>
    <col min="1541" max="1542" width="11.7109375" style="688" customWidth="1"/>
    <col min="1543" max="1543" width="10.85546875" style="688" customWidth="1"/>
    <col min="1544" max="1544" width="14.28515625" style="688" customWidth="1"/>
    <col min="1545" max="1545" width="10.7109375" style="688" customWidth="1"/>
    <col min="1546" max="1546" width="11.7109375" style="688" customWidth="1"/>
    <col min="1547" max="1548" width="10.7109375" style="688" customWidth="1"/>
    <col min="1549" max="1549" width="16.28515625" style="688" customWidth="1"/>
    <col min="1550" max="1550" width="11.140625" style="688" customWidth="1"/>
    <col min="1551" max="1792" width="9.140625" style="688"/>
    <col min="1793" max="1793" width="16.42578125" style="688" customWidth="1"/>
    <col min="1794" max="1794" width="5.7109375" style="688" customWidth="1"/>
    <col min="1795" max="1795" width="11.5703125" style="688" customWidth="1"/>
    <col min="1796" max="1796" width="12.7109375" style="688" customWidth="1"/>
    <col min="1797" max="1798" width="11.7109375" style="688" customWidth="1"/>
    <col min="1799" max="1799" width="10.85546875" style="688" customWidth="1"/>
    <col min="1800" max="1800" width="14.28515625" style="688" customWidth="1"/>
    <col min="1801" max="1801" width="10.7109375" style="688" customWidth="1"/>
    <col min="1802" max="1802" width="11.7109375" style="688" customWidth="1"/>
    <col min="1803" max="1804" width="10.7109375" style="688" customWidth="1"/>
    <col min="1805" max="1805" width="16.28515625" style="688" customWidth="1"/>
    <col min="1806" max="1806" width="11.140625" style="688" customWidth="1"/>
    <col min="1807" max="2048" width="9.140625" style="688"/>
    <col min="2049" max="2049" width="16.42578125" style="688" customWidth="1"/>
    <col min="2050" max="2050" width="5.7109375" style="688" customWidth="1"/>
    <col min="2051" max="2051" width="11.5703125" style="688" customWidth="1"/>
    <col min="2052" max="2052" width="12.7109375" style="688" customWidth="1"/>
    <col min="2053" max="2054" width="11.7109375" style="688" customWidth="1"/>
    <col min="2055" max="2055" width="10.85546875" style="688" customWidth="1"/>
    <col min="2056" max="2056" width="14.28515625" style="688" customWidth="1"/>
    <col min="2057" max="2057" width="10.7109375" style="688" customWidth="1"/>
    <col min="2058" max="2058" width="11.7109375" style="688" customWidth="1"/>
    <col min="2059" max="2060" width="10.7109375" style="688" customWidth="1"/>
    <col min="2061" max="2061" width="16.28515625" style="688" customWidth="1"/>
    <col min="2062" max="2062" width="11.140625" style="688" customWidth="1"/>
    <col min="2063" max="2304" width="9.140625" style="688"/>
    <col min="2305" max="2305" width="16.42578125" style="688" customWidth="1"/>
    <col min="2306" max="2306" width="5.7109375" style="688" customWidth="1"/>
    <col min="2307" max="2307" width="11.5703125" style="688" customWidth="1"/>
    <col min="2308" max="2308" width="12.7109375" style="688" customWidth="1"/>
    <col min="2309" max="2310" width="11.7109375" style="688" customWidth="1"/>
    <col min="2311" max="2311" width="10.85546875" style="688" customWidth="1"/>
    <col min="2312" max="2312" width="14.28515625" style="688" customWidth="1"/>
    <col min="2313" max="2313" width="10.7109375" style="688" customWidth="1"/>
    <col min="2314" max="2314" width="11.7109375" style="688" customWidth="1"/>
    <col min="2315" max="2316" width="10.7109375" style="688" customWidth="1"/>
    <col min="2317" max="2317" width="16.28515625" style="688" customWidth="1"/>
    <col min="2318" max="2318" width="11.140625" style="688" customWidth="1"/>
    <col min="2319" max="2560" width="9.140625" style="688"/>
    <col min="2561" max="2561" width="16.42578125" style="688" customWidth="1"/>
    <col min="2562" max="2562" width="5.7109375" style="688" customWidth="1"/>
    <col min="2563" max="2563" width="11.5703125" style="688" customWidth="1"/>
    <col min="2564" max="2564" width="12.7109375" style="688" customWidth="1"/>
    <col min="2565" max="2566" width="11.7109375" style="688" customWidth="1"/>
    <col min="2567" max="2567" width="10.85546875" style="688" customWidth="1"/>
    <col min="2568" max="2568" width="14.28515625" style="688" customWidth="1"/>
    <col min="2569" max="2569" width="10.7109375" style="688" customWidth="1"/>
    <col min="2570" max="2570" width="11.7109375" style="688" customWidth="1"/>
    <col min="2571" max="2572" width="10.7109375" style="688" customWidth="1"/>
    <col min="2573" max="2573" width="16.28515625" style="688" customWidth="1"/>
    <col min="2574" max="2574" width="11.140625" style="688" customWidth="1"/>
    <col min="2575" max="2816" width="9.140625" style="688"/>
    <col min="2817" max="2817" width="16.42578125" style="688" customWidth="1"/>
    <col min="2818" max="2818" width="5.7109375" style="688" customWidth="1"/>
    <col min="2819" max="2819" width="11.5703125" style="688" customWidth="1"/>
    <col min="2820" max="2820" width="12.7109375" style="688" customWidth="1"/>
    <col min="2821" max="2822" width="11.7109375" style="688" customWidth="1"/>
    <col min="2823" max="2823" width="10.85546875" style="688" customWidth="1"/>
    <col min="2824" max="2824" width="14.28515625" style="688" customWidth="1"/>
    <col min="2825" max="2825" width="10.7109375" style="688" customWidth="1"/>
    <col min="2826" max="2826" width="11.7109375" style="688" customWidth="1"/>
    <col min="2827" max="2828" width="10.7109375" style="688" customWidth="1"/>
    <col min="2829" max="2829" width="16.28515625" style="688" customWidth="1"/>
    <col min="2830" max="2830" width="11.140625" style="688" customWidth="1"/>
    <col min="2831" max="3072" width="9.140625" style="688"/>
    <col min="3073" max="3073" width="16.42578125" style="688" customWidth="1"/>
    <col min="3074" max="3074" width="5.7109375" style="688" customWidth="1"/>
    <col min="3075" max="3075" width="11.5703125" style="688" customWidth="1"/>
    <col min="3076" max="3076" width="12.7109375" style="688" customWidth="1"/>
    <col min="3077" max="3078" width="11.7109375" style="688" customWidth="1"/>
    <col min="3079" max="3079" width="10.85546875" style="688" customWidth="1"/>
    <col min="3080" max="3080" width="14.28515625" style="688" customWidth="1"/>
    <col min="3081" max="3081" width="10.7109375" style="688" customWidth="1"/>
    <col min="3082" max="3082" width="11.7109375" style="688" customWidth="1"/>
    <col min="3083" max="3084" width="10.7109375" style="688" customWidth="1"/>
    <col min="3085" max="3085" width="16.28515625" style="688" customWidth="1"/>
    <col min="3086" max="3086" width="11.140625" style="688" customWidth="1"/>
    <col min="3087" max="3328" width="9.140625" style="688"/>
    <col min="3329" max="3329" width="16.42578125" style="688" customWidth="1"/>
    <col min="3330" max="3330" width="5.7109375" style="688" customWidth="1"/>
    <col min="3331" max="3331" width="11.5703125" style="688" customWidth="1"/>
    <col min="3332" max="3332" width="12.7109375" style="688" customWidth="1"/>
    <col min="3333" max="3334" width="11.7109375" style="688" customWidth="1"/>
    <col min="3335" max="3335" width="10.85546875" style="688" customWidth="1"/>
    <col min="3336" max="3336" width="14.28515625" style="688" customWidth="1"/>
    <col min="3337" max="3337" width="10.7109375" style="688" customWidth="1"/>
    <col min="3338" max="3338" width="11.7109375" style="688" customWidth="1"/>
    <col min="3339" max="3340" width="10.7109375" style="688" customWidth="1"/>
    <col min="3341" max="3341" width="16.28515625" style="688" customWidth="1"/>
    <col min="3342" max="3342" width="11.140625" style="688" customWidth="1"/>
    <col min="3343" max="3584" width="9.140625" style="688"/>
    <col min="3585" max="3585" width="16.42578125" style="688" customWidth="1"/>
    <col min="3586" max="3586" width="5.7109375" style="688" customWidth="1"/>
    <col min="3587" max="3587" width="11.5703125" style="688" customWidth="1"/>
    <col min="3588" max="3588" width="12.7109375" style="688" customWidth="1"/>
    <col min="3589" max="3590" width="11.7109375" style="688" customWidth="1"/>
    <col min="3591" max="3591" width="10.85546875" style="688" customWidth="1"/>
    <col min="3592" max="3592" width="14.28515625" style="688" customWidth="1"/>
    <col min="3593" max="3593" width="10.7109375" style="688" customWidth="1"/>
    <col min="3594" max="3594" width="11.7109375" style="688" customWidth="1"/>
    <col min="3595" max="3596" width="10.7109375" style="688" customWidth="1"/>
    <col min="3597" max="3597" width="16.28515625" style="688" customWidth="1"/>
    <col min="3598" max="3598" width="11.140625" style="688" customWidth="1"/>
    <col min="3599" max="3840" width="9.140625" style="688"/>
    <col min="3841" max="3841" width="16.42578125" style="688" customWidth="1"/>
    <col min="3842" max="3842" width="5.7109375" style="688" customWidth="1"/>
    <col min="3843" max="3843" width="11.5703125" style="688" customWidth="1"/>
    <col min="3844" max="3844" width="12.7109375" style="688" customWidth="1"/>
    <col min="3845" max="3846" width="11.7109375" style="688" customWidth="1"/>
    <col min="3847" max="3847" width="10.85546875" style="688" customWidth="1"/>
    <col min="3848" max="3848" width="14.28515625" style="688" customWidth="1"/>
    <col min="3849" max="3849" width="10.7109375" style="688" customWidth="1"/>
    <col min="3850" max="3850" width="11.7109375" style="688" customWidth="1"/>
    <col min="3851" max="3852" width="10.7109375" style="688" customWidth="1"/>
    <col min="3853" max="3853" width="16.28515625" style="688" customWidth="1"/>
    <col min="3854" max="3854" width="11.140625" style="688" customWidth="1"/>
    <col min="3855" max="4096" width="9.140625" style="688"/>
    <col min="4097" max="4097" width="16.42578125" style="688" customWidth="1"/>
    <col min="4098" max="4098" width="5.7109375" style="688" customWidth="1"/>
    <col min="4099" max="4099" width="11.5703125" style="688" customWidth="1"/>
    <col min="4100" max="4100" width="12.7109375" style="688" customWidth="1"/>
    <col min="4101" max="4102" width="11.7109375" style="688" customWidth="1"/>
    <col min="4103" max="4103" width="10.85546875" style="688" customWidth="1"/>
    <col min="4104" max="4104" width="14.28515625" style="688" customWidth="1"/>
    <col min="4105" max="4105" width="10.7109375" style="688" customWidth="1"/>
    <col min="4106" max="4106" width="11.7109375" style="688" customWidth="1"/>
    <col min="4107" max="4108" width="10.7109375" style="688" customWidth="1"/>
    <col min="4109" max="4109" width="16.28515625" style="688" customWidth="1"/>
    <col min="4110" max="4110" width="11.140625" style="688" customWidth="1"/>
    <col min="4111" max="4352" width="9.140625" style="688"/>
    <col min="4353" max="4353" width="16.42578125" style="688" customWidth="1"/>
    <col min="4354" max="4354" width="5.7109375" style="688" customWidth="1"/>
    <col min="4355" max="4355" width="11.5703125" style="688" customWidth="1"/>
    <col min="4356" max="4356" width="12.7109375" style="688" customWidth="1"/>
    <col min="4357" max="4358" width="11.7109375" style="688" customWidth="1"/>
    <col min="4359" max="4359" width="10.85546875" style="688" customWidth="1"/>
    <col min="4360" max="4360" width="14.28515625" style="688" customWidth="1"/>
    <col min="4361" max="4361" width="10.7109375" style="688" customWidth="1"/>
    <col min="4362" max="4362" width="11.7109375" style="688" customWidth="1"/>
    <col min="4363" max="4364" width="10.7109375" style="688" customWidth="1"/>
    <col min="4365" max="4365" width="16.28515625" style="688" customWidth="1"/>
    <col min="4366" max="4366" width="11.140625" style="688" customWidth="1"/>
    <col min="4367" max="4608" width="9.140625" style="688"/>
    <col min="4609" max="4609" width="16.42578125" style="688" customWidth="1"/>
    <col min="4610" max="4610" width="5.7109375" style="688" customWidth="1"/>
    <col min="4611" max="4611" width="11.5703125" style="688" customWidth="1"/>
    <col min="4612" max="4612" width="12.7109375" style="688" customWidth="1"/>
    <col min="4613" max="4614" width="11.7109375" style="688" customWidth="1"/>
    <col min="4615" max="4615" width="10.85546875" style="688" customWidth="1"/>
    <col min="4616" max="4616" width="14.28515625" style="688" customWidth="1"/>
    <col min="4617" max="4617" width="10.7109375" style="688" customWidth="1"/>
    <col min="4618" max="4618" width="11.7109375" style="688" customWidth="1"/>
    <col min="4619" max="4620" width="10.7109375" style="688" customWidth="1"/>
    <col min="4621" max="4621" width="16.28515625" style="688" customWidth="1"/>
    <col min="4622" max="4622" width="11.140625" style="688" customWidth="1"/>
    <col min="4623" max="4864" width="9.140625" style="688"/>
    <col min="4865" max="4865" width="16.42578125" style="688" customWidth="1"/>
    <col min="4866" max="4866" width="5.7109375" style="688" customWidth="1"/>
    <col min="4867" max="4867" width="11.5703125" style="688" customWidth="1"/>
    <col min="4868" max="4868" width="12.7109375" style="688" customWidth="1"/>
    <col min="4869" max="4870" width="11.7109375" style="688" customWidth="1"/>
    <col min="4871" max="4871" width="10.85546875" style="688" customWidth="1"/>
    <col min="4872" max="4872" width="14.28515625" style="688" customWidth="1"/>
    <col min="4873" max="4873" width="10.7109375" style="688" customWidth="1"/>
    <col min="4874" max="4874" width="11.7109375" style="688" customWidth="1"/>
    <col min="4875" max="4876" width="10.7109375" style="688" customWidth="1"/>
    <col min="4877" max="4877" width="16.28515625" style="688" customWidth="1"/>
    <col min="4878" max="4878" width="11.140625" style="688" customWidth="1"/>
    <col min="4879" max="5120" width="9.140625" style="688"/>
    <col min="5121" max="5121" width="16.42578125" style="688" customWidth="1"/>
    <col min="5122" max="5122" width="5.7109375" style="688" customWidth="1"/>
    <col min="5123" max="5123" width="11.5703125" style="688" customWidth="1"/>
    <col min="5124" max="5124" width="12.7109375" style="688" customWidth="1"/>
    <col min="5125" max="5126" width="11.7109375" style="688" customWidth="1"/>
    <col min="5127" max="5127" width="10.85546875" style="688" customWidth="1"/>
    <col min="5128" max="5128" width="14.28515625" style="688" customWidth="1"/>
    <col min="5129" max="5129" width="10.7109375" style="688" customWidth="1"/>
    <col min="5130" max="5130" width="11.7109375" style="688" customWidth="1"/>
    <col min="5131" max="5132" width="10.7109375" style="688" customWidth="1"/>
    <col min="5133" max="5133" width="16.28515625" style="688" customWidth="1"/>
    <col min="5134" max="5134" width="11.140625" style="688" customWidth="1"/>
    <col min="5135" max="5376" width="9.140625" style="688"/>
    <col min="5377" max="5377" width="16.42578125" style="688" customWidth="1"/>
    <col min="5378" max="5378" width="5.7109375" style="688" customWidth="1"/>
    <col min="5379" max="5379" width="11.5703125" style="688" customWidth="1"/>
    <col min="5380" max="5380" width="12.7109375" style="688" customWidth="1"/>
    <col min="5381" max="5382" width="11.7109375" style="688" customWidth="1"/>
    <col min="5383" max="5383" width="10.85546875" style="688" customWidth="1"/>
    <col min="5384" max="5384" width="14.28515625" style="688" customWidth="1"/>
    <col min="5385" max="5385" width="10.7109375" style="688" customWidth="1"/>
    <col min="5386" max="5386" width="11.7109375" style="688" customWidth="1"/>
    <col min="5387" max="5388" width="10.7109375" style="688" customWidth="1"/>
    <col min="5389" max="5389" width="16.28515625" style="688" customWidth="1"/>
    <col min="5390" max="5390" width="11.140625" style="688" customWidth="1"/>
    <col min="5391" max="5632" width="9.140625" style="688"/>
    <col min="5633" max="5633" width="16.42578125" style="688" customWidth="1"/>
    <col min="5634" max="5634" width="5.7109375" style="688" customWidth="1"/>
    <col min="5635" max="5635" width="11.5703125" style="688" customWidth="1"/>
    <col min="5636" max="5636" width="12.7109375" style="688" customWidth="1"/>
    <col min="5637" max="5638" width="11.7109375" style="688" customWidth="1"/>
    <col min="5639" max="5639" width="10.85546875" style="688" customWidth="1"/>
    <col min="5640" max="5640" width="14.28515625" style="688" customWidth="1"/>
    <col min="5641" max="5641" width="10.7109375" style="688" customWidth="1"/>
    <col min="5642" max="5642" width="11.7109375" style="688" customWidth="1"/>
    <col min="5643" max="5644" width="10.7109375" style="688" customWidth="1"/>
    <col min="5645" max="5645" width="16.28515625" style="688" customWidth="1"/>
    <col min="5646" max="5646" width="11.140625" style="688" customWidth="1"/>
    <col min="5647" max="5888" width="9.140625" style="688"/>
    <col min="5889" max="5889" width="16.42578125" style="688" customWidth="1"/>
    <col min="5890" max="5890" width="5.7109375" style="688" customWidth="1"/>
    <col min="5891" max="5891" width="11.5703125" style="688" customWidth="1"/>
    <col min="5892" max="5892" width="12.7109375" style="688" customWidth="1"/>
    <col min="5893" max="5894" width="11.7109375" style="688" customWidth="1"/>
    <col min="5895" max="5895" width="10.85546875" style="688" customWidth="1"/>
    <col min="5896" max="5896" width="14.28515625" style="688" customWidth="1"/>
    <col min="5897" max="5897" width="10.7109375" style="688" customWidth="1"/>
    <col min="5898" max="5898" width="11.7109375" style="688" customWidth="1"/>
    <col min="5899" max="5900" width="10.7109375" style="688" customWidth="1"/>
    <col min="5901" max="5901" width="16.28515625" style="688" customWidth="1"/>
    <col min="5902" max="5902" width="11.140625" style="688" customWidth="1"/>
    <col min="5903" max="6144" width="9.140625" style="688"/>
    <col min="6145" max="6145" width="16.42578125" style="688" customWidth="1"/>
    <col min="6146" max="6146" width="5.7109375" style="688" customWidth="1"/>
    <col min="6147" max="6147" width="11.5703125" style="688" customWidth="1"/>
    <col min="6148" max="6148" width="12.7109375" style="688" customWidth="1"/>
    <col min="6149" max="6150" width="11.7109375" style="688" customWidth="1"/>
    <col min="6151" max="6151" width="10.85546875" style="688" customWidth="1"/>
    <col min="6152" max="6152" width="14.28515625" style="688" customWidth="1"/>
    <col min="6153" max="6153" width="10.7109375" style="688" customWidth="1"/>
    <col min="6154" max="6154" width="11.7109375" style="688" customWidth="1"/>
    <col min="6155" max="6156" width="10.7109375" style="688" customWidth="1"/>
    <col min="6157" max="6157" width="16.28515625" style="688" customWidth="1"/>
    <col min="6158" max="6158" width="11.140625" style="688" customWidth="1"/>
    <col min="6159" max="6400" width="9.140625" style="688"/>
    <col min="6401" max="6401" width="16.42578125" style="688" customWidth="1"/>
    <col min="6402" max="6402" width="5.7109375" style="688" customWidth="1"/>
    <col min="6403" max="6403" width="11.5703125" style="688" customWidth="1"/>
    <col min="6404" max="6404" width="12.7109375" style="688" customWidth="1"/>
    <col min="6405" max="6406" width="11.7109375" style="688" customWidth="1"/>
    <col min="6407" max="6407" width="10.85546875" style="688" customWidth="1"/>
    <col min="6408" max="6408" width="14.28515625" style="688" customWidth="1"/>
    <col min="6409" max="6409" width="10.7109375" style="688" customWidth="1"/>
    <col min="6410" max="6410" width="11.7109375" style="688" customWidth="1"/>
    <col min="6411" max="6412" width="10.7109375" style="688" customWidth="1"/>
    <col min="6413" max="6413" width="16.28515625" style="688" customWidth="1"/>
    <col min="6414" max="6414" width="11.140625" style="688" customWidth="1"/>
    <col min="6415" max="6656" width="9.140625" style="688"/>
    <col min="6657" max="6657" width="16.42578125" style="688" customWidth="1"/>
    <col min="6658" max="6658" width="5.7109375" style="688" customWidth="1"/>
    <col min="6659" max="6659" width="11.5703125" style="688" customWidth="1"/>
    <col min="6660" max="6660" width="12.7109375" style="688" customWidth="1"/>
    <col min="6661" max="6662" width="11.7109375" style="688" customWidth="1"/>
    <col min="6663" max="6663" width="10.85546875" style="688" customWidth="1"/>
    <col min="6664" max="6664" width="14.28515625" style="688" customWidth="1"/>
    <col min="6665" max="6665" width="10.7109375" style="688" customWidth="1"/>
    <col min="6666" max="6666" width="11.7109375" style="688" customWidth="1"/>
    <col min="6667" max="6668" width="10.7109375" style="688" customWidth="1"/>
    <col min="6669" max="6669" width="16.28515625" style="688" customWidth="1"/>
    <col min="6670" max="6670" width="11.140625" style="688" customWidth="1"/>
    <col min="6671" max="6912" width="9.140625" style="688"/>
    <col min="6913" max="6913" width="16.42578125" style="688" customWidth="1"/>
    <col min="6914" max="6914" width="5.7109375" style="688" customWidth="1"/>
    <col min="6915" max="6915" width="11.5703125" style="688" customWidth="1"/>
    <col min="6916" max="6916" width="12.7109375" style="688" customWidth="1"/>
    <col min="6917" max="6918" width="11.7109375" style="688" customWidth="1"/>
    <col min="6919" max="6919" width="10.85546875" style="688" customWidth="1"/>
    <col min="6920" max="6920" width="14.28515625" style="688" customWidth="1"/>
    <col min="6921" max="6921" width="10.7109375" style="688" customWidth="1"/>
    <col min="6922" max="6922" width="11.7109375" style="688" customWidth="1"/>
    <col min="6923" max="6924" width="10.7109375" style="688" customWidth="1"/>
    <col min="6925" max="6925" width="16.28515625" style="688" customWidth="1"/>
    <col min="6926" max="6926" width="11.140625" style="688" customWidth="1"/>
    <col min="6927" max="7168" width="9.140625" style="688"/>
    <col min="7169" max="7169" width="16.42578125" style="688" customWidth="1"/>
    <col min="7170" max="7170" width="5.7109375" style="688" customWidth="1"/>
    <col min="7171" max="7171" width="11.5703125" style="688" customWidth="1"/>
    <col min="7172" max="7172" width="12.7109375" style="688" customWidth="1"/>
    <col min="7173" max="7174" width="11.7109375" style="688" customWidth="1"/>
    <col min="7175" max="7175" width="10.85546875" style="688" customWidth="1"/>
    <col min="7176" max="7176" width="14.28515625" style="688" customWidth="1"/>
    <col min="7177" max="7177" width="10.7109375" style="688" customWidth="1"/>
    <col min="7178" max="7178" width="11.7109375" style="688" customWidth="1"/>
    <col min="7179" max="7180" width="10.7109375" style="688" customWidth="1"/>
    <col min="7181" max="7181" width="16.28515625" style="688" customWidth="1"/>
    <col min="7182" max="7182" width="11.140625" style="688" customWidth="1"/>
    <col min="7183" max="7424" width="9.140625" style="688"/>
    <col min="7425" max="7425" width="16.42578125" style="688" customWidth="1"/>
    <col min="7426" max="7426" width="5.7109375" style="688" customWidth="1"/>
    <col min="7427" max="7427" width="11.5703125" style="688" customWidth="1"/>
    <col min="7428" max="7428" width="12.7109375" style="688" customWidth="1"/>
    <col min="7429" max="7430" width="11.7109375" style="688" customWidth="1"/>
    <col min="7431" max="7431" width="10.85546875" style="688" customWidth="1"/>
    <col min="7432" max="7432" width="14.28515625" style="688" customWidth="1"/>
    <col min="7433" max="7433" width="10.7109375" style="688" customWidth="1"/>
    <col min="7434" max="7434" width="11.7109375" style="688" customWidth="1"/>
    <col min="7435" max="7436" width="10.7109375" style="688" customWidth="1"/>
    <col min="7437" max="7437" width="16.28515625" style="688" customWidth="1"/>
    <col min="7438" max="7438" width="11.140625" style="688" customWidth="1"/>
    <col min="7439" max="7680" width="9.140625" style="688"/>
    <col min="7681" max="7681" width="16.42578125" style="688" customWidth="1"/>
    <col min="7682" max="7682" width="5.7109375" style="688" customWidth="1"/>
    <col min="7683" max="7683" width="11.5703125" style="688" customWidth="1"/>
    <col min="7684" max="7684" width="12.7109375" style="688" customWidth="1"/>
    <col min="7685" max="7686" width="11.7109375" style="688" customWidth="1"/>
    <col min="7687" max="7687" width="10.85546875" style="688" customWidth="1"/>
    <col min="7688" max="7688" width="14.28515625" style="688" customWidth="1"/>
    <col min="7689" max="7689" width="10.7109375" style="688" customWidth="1"/>
    <col min="7690" max="7690" width="11.7109375" style="688" customWidth="1"/>
    <col min="7691" max="7692" width="10.7109375" style="688" customWidth="1"/>
    <col min="7693" max="7693" width="16.28515625" style="688" customWidth="1"/>
    <col min="7694" max="7694" width="11.140625" style="688" customWidth="1"/>
    <col min="7695" max="7936" width="9.140625" style="688"/>
    <col min="7937" max="7937" width="16.42578125" style="688" customWidth="1"/>
    <col min="7938" max="7938" width="5.7109375" style="688" customWidth="1"/>
    <col min="7939" max="7939" width="11.5703125" style="688" customWidth="1"/>
    <col min="7940" max="7940" width="12.7109375" style="688" customWidth="1"/>
    <col min="7941" max="7942" width="11.7109375" style="688" customWidth="1"/>
    <col min="7943" max="7943" width="10.85546875" style="688" customWidth="1"/>
    <col min="7944" max="7944" width="14.28515625" style="688" customWidth="1"/>
    <col min="7945" max="7945" width="10.7109375" style="688" customWidth="1"/>
    <col min="7946" max="7946" width="11.7109375" style="688" customWidth="1"/>
    <col min="7947" max="7948" width="10.7109375" style="688" customWidth="1"/>
    <col min="7949" max="7949" width="16.28515625" style="688" customWidth="1"/>
    <col min="7950" max="7950" width="11.140625" style="688" customWidth="1"/>
    <col min="7951" max="8192" width="9.140625" style="688"/>
    <col min="8193" max="8193" width="16.42578125" style="688" customWidth="1"/>
    <col min="8194" max="8194" width="5.7109375" style="688" customWidth="1"/>
    <col min="8195" max="8195" width="11.5703125" style="688" customWidth="1"/>
    <col min="8196" max="8196" width="12.7109375" style="688" customWidth="1"/>
    <col min="8197" max="8198" width="11.7109375" style="688" customWidth="1"/>
    <col min="8199" max="8199" width="10.85546875" style="688" customWidth="1"/>
    <col min="8200" max="8200" width="14.28515625" style="688" customWidth="1"/>
    <col min="8201" max="8201" width="10.7109375" style="688" customWidth="1"/>
    <col min="8202" max="8202" width="11.7109375" style="688" customWidth="1"/>
    <col min="8203" max="8204" width="10.7109375" style="688" customWidth="1"/>
    <col min="8205" max="8205" width="16.28515625" style="688" customWidth="1"/>
    <col min="8206" max="8206" width="11.140625" style="688" customWidth="1"/>
    <col min="8207" max="8448" width="9.140625" style="688"/>
    <col min="8449" max="8449" width="16.42578125" style="688" customWidth="1"/>
    <col min="8450" max="8450" width="5.7109375" style="688" customWidth="1"/>
    <col min="8451" max="8451" width="11.5703125" style="688" customWidth="1"/>
    <col min="8452" max="8452" width="12.7109375" style="688" customWidth="1"/>
    <col min="8453" max="8454" width="11.7109375" style="688" customWidth="1"/>
    <col min="8455" max="8455" width="10.85546875" style="688" customWidth="1"/>
    <col min="8456" max="8456" width="14.28515625" style="688" customWidth="1"/>
    <col min="8457" max="8457" width="10.7109375" style="688" customWidth="1"/>
    <col min="8458" max="8458" width="11.7109375" style="688" customWidth="1"/>
    <col min="8459" max="8460" width="10.7109375" style="688" customWidth="1"/>
    <col min="8461" max="8461" width="16.28515625" style="688" customWidth="1"/>
    <col min="8462" max="8462" width="11.140625" style="688" customWidth="1"/>
    <col min="8463" max="8704" width="9.140625" style="688"/>
    <col min="8705" max="8705" width="16.42578125" style="688" customWidth="1"/>
    <col min="8706" max="8706" width="5.7109375" style="688" customWidth="1"/>
    <col min="8707" max="8707" width="11.5703125" style="688" customWidth="1"/>
    <col min="8708" max="8708" width="12.7109375" style="688" customWidth="1"/>
    <col min="8709" max="8710" width="11.7109375" style="688" customWidth="1"/>
    <col min="8711" max="8711" width="10.85546875" style="688" customWidth="1"/>
    <col min="8712" max="8712" width="14.28515625" style="688" customWidth="1"/>
    <col min="8713" max="8713" width="10.7109375" style="688" customWidth="1"/>
    <col min="8714" max="8714" width="11.7109375" style="688" customWidth="1"/>
    <col min="8715" max="8716" width="10.7109375" style="688" customWidth="1"/>
    <col min="8717" max="8717" width="16.28515625" style="688" customWidth="1"/>
    <col min="8718" max="8718" width="11.140625" style="688" customWidth="1"/>
    <col min="8719" max="8960" width="9.140625" style="688"/>
    <col min="8961" max="8961" width="16.42578125" style="688" customWidth="1"/>
    <col min="8962" max="8962" width="5.7109375" style="688" customWidth="1"/>
    <col min="8963" max="8963" width="11.5703125" style="688" customWidth="1"/>
    <col min="8964" max="8964" width="12.7109375" style="688" customWidth="1"/>
    <col min="8965" max="8966" width="11.7109375" style="688" customWidth="1"/>
    <col min="8967" max="8967" width="10.85546875" style="688" customWidth="1"/>
    <col min="8968" max="8968" width="14.28515625" style="688" customWidth="1"/>
    <col min="8969" max="8969" width="10.7109375" style="688" customWidth="1"/>
    <col min="8970" max="8970" width="11.7109375" style="688" customWidth="1"/>
    <col min="8971" max="8972" width="10.7109375" style="688" customWidth="1"/>
    <col min="8973" max="8973" width="16.28515625" style="688" customWidth="1"/>
    <col min="8974" max="8974" width="11.140625" style="688" customWidth="1"/>
    <col min="8975" max="9216" width="9.140625" style="688"/>
    <col min="9217" max="9217" width="16.42578125" style="688" customWidth="1"/>
    <col min="9218" max="9218" width="5.7109375" style="688" customWidth="1"/>
    <col min="9219" max="9219" width="11.5703125" style="688" customWidth="1"/>
    <col min="9220" max="9220" width="12.7109375" style="688" customWidth="1"/>
    <col min="9221" max="9222" width="11.7109375" style="688" customWidth="1"/>
    <col min="9223" max="9223" width="10.85546875" style="688" customWidth="1"/>
    <col min="9224" max="9224" width="14.28515625" style="688" customWidth="1"/>
    <col min="9225" max="9225" width="10.7109375" style="688" customWidth="1"/>
    <col min="9226" max="9226" width="11.7109375" style="688" customWidth="1"/>
    <col min="9227" max="9228" width="10.7109375" style="688" customWidth="1"/>
    <col min="9229" max="9229" width="16.28515625" style="688" customWidth="1"/>
    <col min="9230" max="9230" width="11.140625" style="688" customWidth="1"/>
    <col min="9231" max="9472" width="9.140625" style="688"/>
    <col min="9473" max="9473" width="16.42578125" style="688" customWidth="1"/>
    <col min="9474" max="9474" width="5.7109375" style="688" customWidth="1"/>
    <col min="9475" max="9475" width="11.5703125" style="688" customWidth="1"/>
    <col min="9476" max="9476" width="12.7109375" style="688" customWidth="1"/>
    <col min="9477" max="9478" width="11.7109375" style="688" customWidth="1"/>
    <col min="9479" max="9479" width="10.85546875" style="688" customWidth="1"/>
    <col min="9480" max="9480" width="14.28515625" style="688" customWidth="1"/>
    <col min="9481" max="9481" width="10.7109375" style="688" customWidth="1"/>
    <col min="9482" max="9482" width="11.7109375" style="688" customWidth="1"/>
    <col min="9483" max="9484" width="10.7109375" style="688" customWidth="1"/>
    <col min="9485" max="9485" width="16.28515625" style="688" customWidth="1"/>
    <col min="9486" max="9486" width="11.140625" style="688" customWidth="1"/>
    <col min="9487" max="9728" width="9.140625" style="688"/>
    <col min="9729" max="9729" width="16.42578125" style="688" customWidth="1"/>
    <col min="9730" max="9730" width="5.7109375" style="688" customWidth="1"/>
    <col min="9731" max="9731" width="11.5703125" style="688" customWidth="1"/>
    <col min="9732" max="9732" width="12.7109375" style="688" customWidth="1"/>
    <col min="9733" max="9734" width="11.7109375" style="688" customWidth="1"/>
    <col min="9735" max="9735" width="10.85546875" style="688" customWidth="1"/>
    <col min="9736" max="9736" width="14.28515625" style="688" customWidth="1"/>
    <col min="9737" max="9737" width="10.7109375" style="688" customWidth="1"/>
    <col min="9738" max="9738" width="11.7109375" style="688" customWidth="1"/>
    <col min="9739" max="9740" width="10.7109375" style="688" customWidth="1"/>
    <col min="9741" max="9741" width="16.28515625" style="688" customWidth="1"/>
    <col min="9742" max="9742" width="11.140625" style="688" customWidth="1"/>
    <col min="9743" max="9984" width="9.140625" style="688"/>
    <col min="9985" max="9985" width="16.42578125" style="688" customWidth="1"/>
    <col min="9986" max="9986" width="5.7109375" style="688" customWidth="1"/>
    <col min="9987" max="9987" width="11.5703125" style="688" customWidth="1"/>
    <col min="9988" max="9988" width="12.7109375" style="688" customWidth="1"/>
    <col min="9989" max="9990" width="11.7109375" style="688" customWidth="1"/>
    <col min="9991" max="9991" width="10.85546875" style="688" customWidth="1"/>
    <col min="9992" max="9992" width="14.28515625" style="688" customWidth="1"/>
    <col min="9993" max="9993" width="10.7109375" style="688" customWidth="1"/>
    <col min="9994" max="9994" width="11.7109375" style="688" customWidth="1"/>
    <col min="9995" max="9996" width="10.7109375" style="688" customWidth="1"/>
    <col min="9997" max="9997" width="16.28515625" style="688" customWidth="1"/>
    <col min="9998" max="9998" width="11.140625" style="688" customWidth="1"/>
    <col min="9999" max="10240" width="9.140625" style="688"/>
    <col min="10241" max="10241" width="16.42578125" style="688" customWidth="1"/>
    <col min="10242" max="10242" width="5.7109375" style="688" customWidth="1"/>
    <col min="10243" max="10243" width="11.5703125" style="688" customWidth="1"/>
    <col min="10244" max="10244" width="12.7109375" style="688" customWidth="1"/>
    <col min="10245" max="10246" width="11.7109375" style="688" customWidth="1"/>
    <col min="10247" max="10247" width="10.85546875" style="688" customWidth="1"/>
    <col min="10248" max="10248" width="14.28515625" style="688" customWidth="1"/>
    <col min="10249" max="10249" width="10.7109375" style="688" customWidth="1"/>
    <col min="10250" max="10250" width="11.7109375" style="688" customWidth="1"/>
    <col min="10251" max="10252" width="10.7109375" style="688" customWidth="1"/>
    <col min="10253" max="10253" width="16.28515625" style="688" customWidth="1"/>
    <col min="10254" max="10254" width="11.140625" style="688" customWidth="1"/>
    <col min="10255" max="10496" width="9.140625" style="688"/>
    <col min="10497" max="10497" width="16.42578125" style="688" customWidth="1"/>
    <col min="10498" max="10498" width="5.7109375" style="688" customWidth="1"/>
    <col min="10499" max="10499" width="11.5703125" style="688" customWidth="1"/>
    <col min="10500" max="10500" width="12.7109375" style="688" customWidth="1"/>
    <col min="10501" max="10502" width="11.7109375" style="688" customWidth="1"/>
    <col min="10503" max="10503" width="10.85546875" style="688" customWidth="1"/>
    <col min="10504" max="10504" width="14.28515625" style="688" customWidth="1"/>
    <col min="10505" max="10505" width="10.7109375" style="688" customWidth="1"/>
    <col min="10506" max="10506" width="11.7109375" style="688" customWidth="1"/>
    <col min="10507" max="10508" width="10.7109375" style="688" customWidth="1"/>
    <col min="10509" max="10509" width="16.28515625" style="688" customWidth="1"/>
    <col min="10510" max="10510" width="11.140625" style="688" customWidth="1"/>
    <col min="10511" max="10752" width="9.140625" style="688"/>
    <col min="10753" max="10753" width="16.42578125" style="688" customWidth="1"/>
    <col min="10754" max="10754" width="5.7109375" style="688" customWidth="1"/>
    <col min="10755" max="10755" width="11.5703125" style="688" customWidth="1"/>
    <col min="10756" max="10756" width="12.7109375" style="688" customWidth="1"/>
    <col min="10757" max="10758" width="11.7109375" style="688" customWidth="1"/>
    <col min="10759" max="10759" width="10.85546875" style="688" customWidth="1"/>
    <col min="10760" max="10760" width="14.28515625" style="688" customWidth="1"/>
    <col min="10761" max="10761" width="10.7109375" style="688" customWidth="1"/>
    <col min="10762" max="10762" width="11.7109375" style="688" customWidth="1"/>
    <col min="10763" max="10764" width="10.7109375" style="688" customWidth="1"/>
    <col min="10765" max="10765" width="16.28515625" style="688" customWidth="1"/>
    <col min="10766" max="10766" width="11.140625" style="688" customWidth="1"/>
    <col min="10767" max="11008" width="9.140625" style="688"/>
    <col min="11009" max="11009" width="16.42578125" style="688" customWidth="1"/>
    <col min="11010" max="11010" width="5.7109375" style="688" customWidth="1"/>
    <col min="11011" max="11011" width="11.5703125" style="688" customWidth="1"/>
    <col min="11012" max="11012" width="12.7109375" style="688" customWidth="1"/>
    <col min="11013" max="11014" width="11.7109375" style="688" customWidth="1"/>
    <col min="11015" max="11015" width="10.85546875" style="688" customWidth="1"/>
    <col min="11016" max="11016" width="14.28515625" style="688" customWidth="1"/>
    <col min="11017" max="11017" width="10.7109375" style="688" customWidth="1"/>
    <col min="11018" max="11018" width="11.7109375" style="688" customWidth="1"/>
    <col min="11019" max="11020" width="10.7109375" style="688" customWidth="1"/>
    <col min="11021" max="11021" width="16.28515625" style="688" customWidth="1"/>
    <col min="11022" max="11022" width="11.140625" style="688" customWidth="1"/>
    <col min="11023" max="11264" width="9.140625" style="688"/>
    <col min="11265" max="11265" width="16.42578125" style="688" customWidth="1"/>
    <col min="11266" max="11266" width="5.7109375" style="688" customWidth="1"/>
    <col min="11267" max="11267" width="11.5703125" style="688" customWidth="1"/>
    <col min="11268" max="11268" width="12.7109375" style="688" customWidth="1"/>
    <col min="11269" max="11270" width="11.7109375" style="688" customWidth="1"/>
    <col min="11271" max="11271" width="10.85546875" style="688" customWidth="1"/>
    <col min="11272" max="11272" width="14.28515625" style="688" customWidth="1"/>
    <col min="11273" max="11273" width="10.7109375" style="688" customWidth="1"/>
    <col min="11274" max="11274" width="11.7109375" style="688" customWidth="1"/>
    <col min="11275" max="11276" width="10.7109375" style="688" customWidth="1"/>
    <col min="11277" max="11277" width="16.28515625" style="688" customWidth="1"/>
    <col min="11278" max="11278" width="11.140625" style="688" customWidth="1"/>
    <col min="11279" max="11520" width="9.140625" style="688"/>
    <col min="11521" max="11521" width="16.42578125" style="688" customWidth="1"/>
    <col min="11522" max="11522" width="5.7109375" style="688" customWidth="1"/>
    <col min="11523" max="11523" width="11.5703125" style="688" customWidth="1"/>
    <col min="11524" max="11524" width="12.7109375" style="688" customWidth="1"/>
    <col min="11525" max="11526" width="11.7109375" style="688" customWidth="1"/>
    <col min="11527" max="11527" width="10.85546875" style="688" customWidth="1"/>
    <col min="11528" max="11528" width="14.28515625" style="688" customWidth="1"/>
    <col min="11529" max="11529" width="10.7109375" style="688" customWidth="1"/>
    <col min="11530" max="11530" width="11.7109375" style="688" customWidth="1"/>
    <col min="11531" max="11532" width="10.7109375" style="688" customWidth="1"/>
    <col min="11533" max="11533" width="16.28515625" style="688" customWidth="1"/>
    <col min="11534" max="11534" width="11.140625" style="688" customWidth="1"/>
    <col min="11535" max="11776" width="9.140625" style="688"/>
    <col min="11777" max="11777" width="16.42578125" style="688" customWidth="1"/>
    <col min="11778" max="11778" width="5.7109375" style="688" customWidth="1"/>
    <col min="11779" max="11779" width="11.5703125" style="688" customWidth="1"/>
    <col min="11780" max="11780" width="12.7109375" style="688" customWidth="1"/>
    <col min="11781" max="11782" width="11.7109375" style="688" customWidth="1"/>
    <col min="11783" max="11783" width="10.85546875" style="688" customWidth="1"/>
    <col min="11784" max="11784" width="14.28515625" style="688" customWidth="1"/>
    <col min="11785" max="11785" width="10.7109375" style="688" customWidth="1"/>
    <col min="11786" max="11786" width="11.7109375" style="688" customWidth="1"/>
    <col min="11787" max="11788" width="10.7109375" style="688" customWidth="1"/>
    <col min="11789" max="11789" width="16.28515625" style="688" customWidth="1"/>
    <col min="11790" max="11790" width="11.140625" style="688" customWidth="1"/>
    <col min="11791" max="12032" width="9.140625" style="688"/>
    <col min="12033" max="12033" width="16.42578125" style="688" customWidth="1"/>
    <col min="12034" max="12034" width="5.7109375" style="688" customWidth="1"/>
    <col min="12035" max="12035" width="11.5703125" style="688" customWidth="1"/>
    <col min="12036" max="12036" width="12.7109375" style="688" customWidth="1"/>
    <col min="12037" max="12038" width="11.7109375" style="688" customWidth="1"/>
    <col min="12039" max="12039" width="10.85546875" style="688" customWidth="1"/>
    <col min="12040" max="12040" width="14.28515625" style="688" customWidth="1"/>
    <col min="12041" max="12041" width="10.7109375" style="688" customWidth="1"/>
    <col min="12042" max="12042" width="11.7109375" style="688" customWidth="1"/>
    <col min="12043" max="12044" width="10.7109375" style="688" customWidth="1"/>
    <col min="12045" max="12045" width="16.28515625" style="688" customWidth="1"/>
    <col min="12046" max="12046" width="11.140625" style="688" customWidth="1"/>
    <col min="12047" max="12288" width="9.140625" style="688"/>
    <col min="12289" max="12289" width="16.42578125" style="688" customWidth="1"/>
    <col min="12290" max="12290" width="5.7109375" style="688" customWidth="1"/>
    <col min="12291" max="12291" width="11.5703125" style="688" customWidth="1"/>
    <col min="12292" max="12292" width="12.7109375" style="688" customWidth="1"/>
    <col min="12293" max="12294" width="11.7109375" style="688" customWidth="1"/>
    <col min="12295" max="12295" width="10.85546875" style="688" customWidth="1"/>
    <col min="12296" max="12296" width="14.28515625" style="688" customWidth="1"/>
    <col min="12297" max="12297" width="10.7109375" style="688" customWidth="1"/>
    <col min="12298" max="12298" width="11.7109375" style="688" customWidth="1"/>
    <col min="12299" max="12300" width="10.7109375" style="688" customWidth="1"/>
    <col min="12301" max="12301" width="16.28515625" style="688" customWidth="1"/>
    <col min="12302" max="12302" width="11.140625" style="688" customWidth="1"/>
    <col min="12303" max="12544" width="9.140625" style="688"/>
    <col min="12545" max="12545" width="16.42578125" style="688" customWidth="1"/>
    <col min="12546" max="12546" width="5.7109375" style="688" customWidth="1"/>
    <col min="12547" max="12547" width="11.5703125" style="688" customWidth="1"/>
    <col min="12548" max="12548" width="12.7109375" style="688" customWidth="1"/>
    <col min="12549" max="12550" width="11.7109375" style="688" customWidth="1"/>
    <col min="12551" max="12551" width="10.85546875" style="688" customWidth="1"/>
    <col min="12552" max="12552" width="14.28515625" style="688" customWidth="1"/>
    <col min="12553" max="12553" width="10.7109375" style="688" customWidth="1"/>
    <col min="12554" max="12554" width="11.7109375" style="688" customWidth="1"/>
    <col min="12555" max="12556" width="10.7109375" style="688" customWidth="1"/>
    <col min="12557" max="12557" width="16.28515625" style="688" customWidth="1"/>
    <col min="12558" max="12558" width="11.140625" style="688" customWidth="1"/>
    <col min="12559" max="12800" width="9.140625" style="688"/>
    <col min="12801" max="12801" width="16.42578125" style="688" customWidth="1"/>
    <col min="12802" max="12802" width="5.7109375" style="688" customWidth="1"/>
    <col min="12803" max="12803" width="11.5703125" style="688" customWidth="1"/>
    <col min="12804" max="12804" width="12.7109375" style="688" customWidth="1"/>
    <col min="12805" max="12806" width="11.7109375" style="688" customWidth="1"/>
    <col min="12807" max="12807" width="10.85546875" style="688" customWidth="1"/>
    <col min="12808" max="12808" width="14.28515625" style="688" customWidth="1"/>
    <col min="12809" max="12809" width="10.7109375" style="688" customWidth="1"/>
    <col min="12810" max="12810" width="11.7109375" style="688" customWidth="1"/>
    <col min="12811" max="12812" width="10.7109375" style="688" customWidth="1"/>
    <col min="12813" max="12813" width="16.28515625" style="688" customWidth="1"/>
    <col min="12814" max="12814" width="11.140625" style="688" customWidth="1"/>
    <col min="12815" max="13056" width="9.140625" style="688"/>
    <col min="13057" max="13057" width="16.42578125" style="688" customWidth="1"/>
    <col min="13058" max="13058" width="5.7109375" style="688" customWidth="1"/>
    <col min="13059" max="13059" width="11.5703125" style="688" customWidth="1"/>
    <col min="13060" max="13060" width="12.7109375" style="688" customWidth="1"/>
    <col min="13061" max="13062" width="11.7109375" style="688" customWidth="1"/>
    <col min="13063" max="13063" width="10.85546875" style="688" customWidth="1"/>
    <col min="13064" max="13064" width="14.28515625" style="688" customWidth="1"/>
    <col min="13065" max="13065" width="10.7109375" style="688" customWidth="1"/>
    <col min="13066" max="13066" width="11.7109375" style="688" customWidth="1"/>
    <col min="13067" max="13068" width="10.7109375" style="688" customWidth="1"/>
    <col min="13069" max="13069" width="16.28515625" style="688" customWidth="1"/>
    <col min="13070" max="13070" width="11.140625" style="688" customWidth="1"/>
    <col min="13071" max="13312" width="9.140625" style="688"/>
    <col min="13313" max="13313" width="16.42578125" style="688" customWidth="1"/>
    <col min="13314" max="13314" width="5.7109375" style="688" customWidth="1"/>
    <col min="13315" max="13315" width="11.5703125" style="688" customWidth="1"/>
    <col min="13316" max="13316" width="12.7109375" style="688" customWidth="1"/>
    <col min="13317" max="13318" width="11.7109375" style="688" customWidth="1"/>
    <col min="13319" max="13319" width="10.85546875" style="688" customWidth="1"/>
    <col min="13320" max="13320" width="14.28515625" style="688" customWidth="1"/>
    <col min="13321" max="13321" width="10.7109375" style="688" customWidth="1"/>
    <col min="13322" max="13322" width="11.7109375" style="688" customWidth="1"/>
    <col min="13323" max="13324" width="10.7109375" style="688" customWidth="1"/>
    <col min="13325" max="13325" width="16.28515625" style="688" customWidth="1"/>
    <col min="13326" max="13326" width="11.140625" style="688" customWidth="1"/>
    <col min="13327" max="13568" width="9.140625" style="688"/>
    <col min="13569" max="13569" width="16.42578125" style="688" customWidth="1"/>
    <col min="13570" max="13570" width="5.7109375" style="688" customWidth="1"/>
    <col min="13571" max="13571" width="11.5703125" style="688" customWidth="1"/>
    <col min="13572" max="13572" width="12.7109375" style="688" customWidth="1"/>
    <col min="13573" max="13574" width="11.7109375" style="688" customWidth="1"/>
    <col min="13575" max="13575" width="10.85546875" style="688" customWidth="1"/>
    <col min="13576" max="13576" width="14.28515625" style="688" customWidth="1"/>
    <col min="13577" max="13577" width="10.7109375" style="688" customWidth="1"/>
    <col min="13578" max="13578" width="11.7109375" style="688" customWidth="1"/>
    <col min="13579" max="13580" width="10.7109375" style="688" customWidth="1"/>
    <col min="13581" max="13581" width="16.28515625" style="688" customWidth="1"/>
    <col min="13582" max="13582" width="11.140625" style="688" customWidth="1"/>
    <col min="13583" max="13824" width="9.140625" style="688"/>
    <col min="13825" max="13825" width="16.42578125" style="688" customWidth="1"/>
    <col min="13826" max="13826" width="5.7109375" style="688" customWidth="1"/>
    <col min="13827" max="13827" width="11.5703125" style="688" customWidth="1"/>
    <col min="13828" max="13828" width="12.7109375" style="688" customWidth="1"/>
    <col min="13829" max="13830" width="11.7109375" style="688" customWidth="1"/>
    <col min="13831" max="13831" width="10.85546875" style="688" customWidth="1"/>
    <col min="13832" max="13832" width="14.28515625" style="688" customWidth="1"/>
    <col min="13833" max="13833" width="10.7109375" style="688" customWidth="1"/>
    <col min="13834" max="13834" width="11.7109375" style="688" customWidth="1"/>
    <col min="13835" max="13836" width="10.7109375" style="688" customWidth="1"/>
    <col min="13837" max="13837" width="16.28515625" style="688" customWidth="1"/>
    <col min="13838" max="13838" width="11.140625" style="688" customWidth="1"/>
    <col min="13839" max="14080" width="9.140625" style="688"/>
    <col min="14081" max="14081" width="16.42578125" style="688" customWidth="1"/>
    <col min="14082" max="14082" width="5.7109375" style="688" customWidth="1"/>
    <col min="14083" max="14083" width="11.5703125" style="688" customWidth="1"/>
    <col min="14084" max="14084" width="12.7109375" style="688" customWidth="1"/>
    <col min="14085" max="14086" width="11.7109375" style="688" customWidth="1"/>
    <col min="14087" max="14087" width="10.85546875" style="688" customWidth="1"/>
    <col min="14088" max="14088" width="14.28515625" style="688" customWidth="1"/>
    <col min="14089" max="14089" width="10.7109375" style="688" customWidth="1"/>
    <col min="14090" max="14090" width="11.7109375" style="688" customWidth="1"/>
    <col min="14091" max="14092" width="10.7109375" style="688" customWidth="1"/>
    <col min="14093" max="14093" width="16.28515625" style="688" customWidth="1"/>
    <col min="14094" max="14094" width="11.140625" style="688" customWidth="1"/>
    <col min="14095" max="14336" width="9.140625" style="688"/>
    <col min="14337" max="14337" width="16.42578125" style="688" customWidth="1"/>
    <col min="14338" max="14338" width="5.7109375" style="688" customWidth="1"/>
    <col min="14339" max="14339" width="11.5703125" style="688" customWidth="1"/>
    <col min="14340" max="14340" width="12.7109375" style="688" customWidth="1"/>
    <col min="14341" max="14342" width="11.7109375" style="688" customWidth="1"/>
    <col min="14343" max="14343" width="10.85546875" style="688" customWidth="1"/>
    <col min="14344" max="14344" width="14.28515625" style="688" customWidth="1"/>
    <col min="14345" max="14345" width="10.7109375" style="688" customWidth="1"/>
    <col min="14346" max="14346" width="11.7109375" style="688" customWidth="1"/>
    <col min="14347" max="14348" width="10.7109375" style="688" customWidth="1"/>
    <col min="14349" max="14349" width="16.28515625" style="688" customWidth="1"/>
    <col min="14350" max="14350" width="11.140625" style="688" customWidth="1"/>
    <col min="14351" max="14592" width="9.140625" style="688"/>
    <col min="14593" max="14593" width="16.42578125" style="688" customWidth="1"/>
    <col min="14594" max="14594" width="5.7109375" style="688" customWidth="1"/>
    <col min="14595" max="14595" width="11.5703125" style="688" customWidth="1"/>
    <col min="14596" max="14596" width="12.7109375" style="688" customWidth="1"/>
    <col min="14597" max="14598" width="11.7109375" style="688" customWidth="1"/>
    <col min="14599" max="14599" width="10.85546875" style="688" customWidth="1"/>
    <col min="14600" max="14600" width="14.28515625" style="688" customWidth="1"/>
    <col min="14601" max="14601" width="10.7109375" style="688" customWidth="1"/>
    <col min="14602" max="14602" width="11.7109375" style="688" customWidth="1"/>
    <col min="14603" max="14604" width="10.7109375" style="688" customWidth="1"/>
    <col min="14605" max="14605" width="16.28515625" style="688" customWidth="1"/>
    <col min="14606" max="14606" width="11.140625" style="688" customWidth="1"/>
    <col min="14607" max="14848" width="9.140625" style="688"/>
    <col min="14849" max="14849" width="16.42578125" style="688" customWidth="1"/>
    <col min="14850" max="14850" width="5.7109375" style="688" customWidth="1"/>
    <col min="14851" max="14851" width="11.5703125" style="688" customWidth="1"/>
    <col min="14852" max="14852" width="12.7109375" style="688" customWidth="1"/>
    <col min="14853" max="14854" width="11.7109375" style="688" customWidth="1"/>
    <col min="14855" max="14855" width="10.85546875" style="688" customWidth="1"/>
    <col min="14856" max="14856" width="14.28515625" style="688" customWidth="1"/>
    <col min="14857" max="14857" width="10.7109375" style="688" customWidth="1"/>
    <col min="14858" max="14858" width="11.7109375" style="688" customWidth="1"/>
    <col min="14859" max="14860" width="10.7109375" style="688" customWidth="1"/>
    <col min="14861" max="14861" width="16.28515625" style="688" customWidth="1"/>
    <col min="14862" max="14862" width="11.140625" style="688" customWidth="1"/>
    <col min="14863" max="15104" width="9.140625" style="688"/>
    <col min="15105" max="15105" width="16.42578125" style="688" customWidth="1"/>
    <col min="15106" max="15106" width="5.7109375" style="688" customWidth="1"/>
    <col min="15107" max="15107" width="11.5703125" style="688" customWidth="1"/>
    <col min="15108" max="15108" width="12.7109375" style="688" customWidth="1"/>
    <col min="15109" max="15110" width="11.7109375" style="688" customWidth="1"/>
    <col min="15111" max="15111" width="10.85546875" style="688" customWidth="1"/>
    <col min="15112" max="15112" width="14.28515625" style="688" customWidth="1"/>
    <col min="15113" max="15113" width="10.7109375" style="688" customWidth="1"/>
    <col min="15114" max="15114" width="11.7109375" style="688" customWidth="1"/>
    <col min="15115" max="15116" width="10.7109375" style="688" customWidth="1"/>
    <col min="15117" max="15117" width="16.28515625" style="688" customWidth="1"/>
    <col min="15118" max="15118" width="11.140625" style="688" customWidth="1"/>
    <col min="15119" max="15360" width="9.140625" style="688"/>
    <col min="15361" max="15361" width="16.42578125" style="688" customWidth="1"/>
    <col min="15362" max="15362" width="5.7109375" style="688" customWidth="1"/>
    <col min="15363" max="15363" width="11.5703125" style="688" customWidth="1"/>
    <col min="15364" max="15364" width="12.7109375" style="688" customWidth="1"/>
    <col min="15365" max="15366" width="11.7109375" style="688" customWidth="1"/>
    <col min="15367" max="15367" width="10.85546875" style="688" customWidth="1"/>
    <col min="15368" max="15368" width="14.28515625" style="688" customWidth="1"/>
    <col min="15369" max="15369" width="10.7109375" style="688" customWidth="1"/>
    <col min="15370" max="15370" width="11.7109375" style="688" customWidth="1"/>
    <col min="15371" max="15372" width="10.7109375" style="688" customWidth="1"/>
    <col min="15373" max="15373" width="16.28515625" style="688" customWidth="1"/>
    <col min="15374" max="15374" width="11.140625" style="688" customWidth="1"/>
    <col min="15375" max="15616" width="9.140625" style="688"/>
    <col min="15617" max="15617" width="16.42578125" style="688" customWidth="1"/>
    <col min="15618" max="15618" width="5.7109375" style="688" customWidth="1"/>
    <col min="15619" max="15619" width="11.5703125" style="688" customWidth="1"/>
    <col min="15620" max="15620" width="12.7109375" style="688" customWidth="1"/>
    <col min="15621" max="15622" width="11.7109375" style="688" customWidth="1"/>
    <col min="15623" max="15623" width="10.85546875" style="688" customWidth="1"/>
    <col min="15624" max="15624" width="14.28515625" style="688" customWidth="1"/>
    <col min="15625" max="15625" width="10.7109375" style="688" customWidth="1"/>
    <col min="15626" max="15626" width="11.7109375" style="688" customWidth="1"/>
    <col min="15627" max="15628" width="10.7109375" style="688" customWidth="1"/>
    <col min="15629" max="15629" width="16.28515625" style="688" customWidth="1"/>
    <col min="15630" max="15630" width="11.140625" style="688" customWidth="1"/>
    <col min="15631" max="15872" width="9.140625" style="688"/>
    <col min="15873" max="15873" width="16.42578125" style="688" customWidth="1"/>
    <col min="15874" max="15874" width="5.7109375" style="688" customWidth="1"/>
    <col min="15875" max="15875" width="11.5703125" style="688" customWidth="1"/>
    <col min="15876" max="15876" width="12.7109375" style="688" customWidth="1"/>
    <col min="15877" max="15878" width="11.7109375" style="688" customWidth="1"/>
    <col min="15879" max="15879" width="10.85546875" style="688" customWidth="1"/>
    <col min="15880" max="15880" width="14.28515625" style="688" customWidth="1"/>
    <col min="15881" max="15881" width="10.7109375" style="688" customWidth="1"/>
    <col min="15882" max="15882" width="11.7109375" style="688" customWidth="1"/>
    <col min="15883" max="15884" width="10.7109375" style="688" customWidth="1"/>
    <col min="15885" max="15885" width="16.28515625" style="688" customWidth="1"/>
    <col min="15886" max="15886" width="11.140625" style="688" customWidth="1"/>
    <col min="15887" max="16128" width="9.140625" style="688"/>
    <col min="16129" max="16129" width="16.42578125" style="688" customWidth="1"/>
    <col min="16130" max="16130" width="5.7109375" style="688" customWidth="1"/>
    <col min="16131" max="16131" width="11.5703125" style="688" customWidth="1"/>
    <col min="16132" max="16132" width="12.7109375" style="688" customWidth="1"/>
    <col min="16133" max="16134" width="11.7109375" style="688" customWidth="1"/>
    <col min="16135" max="16135" width="10.85546875" style="688" customWidth="1"/>
    <col min="16136" max="16136" width="14.28515625" style="688" customWidth="1"/>
    <col min="16137" max="16137" width="10.7109375" style="688" customWidth="1"/>
    <col min="16138" max="16138" width="11.7109375" style="688" customWidth="1"/>
    <col min="16139" max="16140" width="10.7109375" style="688" customWidth="1"/>
    <col min="16141" max="16141" width="16.28515625" style="688" customWidth="1"/>
    <col min="16142" max="16142" width="11.140625" style="688" customWidth="1"/>
    <col min="16143" max="16384" width="9.140625" style="688"/>
  </cols>
  <sheetData>
    <row r="2" spans="1:14" ht="12.75" customHeight="1">
      <c r="B2" s="689"/>
      <c r="C2" s="689"/>
      <c r="D2" s="689"/>
      <c r="E2" s="689"/>
      <c r="F2" s="689"/>
      <c r="G2" s="689"/>
      <c r="H2" s="689"/>
      <c r="I2" s="689"/>
      <c r="J2" s="689"/>
      <c r="K2" s="689"/>
      <c r="L2" s="690"/>
      <c r="M2" s="689"/>
    </row>
    <row r="3" spans="1:14" ht="25.5" customHeight="1">
      <c r="B3" s="1071" t="s">
        <v>622</v>
      </c>
      <c r="C3" s="1071"/>
      <c r="D3" s="1071"/>
      <c r="E3" s="1071"/>
      <c r="F3" s="1071"/>
      <c r="G3" s="1071"/>
      <c r="H3" s="1071"/>
      <c r="I3" s="1071"/>
      <c r="J3" s="1071"/>
      <c r="K3" s="1071"/>
      <c r="L3" s="691"/>
      <c r="M3" s="692"/>
      <c r="N3" s="693"/>
    </row>
    <row r="4" spans="1:14" ht="11.25" customHeight="1" thickBot="1">
      <c r="B4" s="690"/>
      <c r="C4" s="690"/>
      <c r="D4" s="690"/>
      <c r="E4" s="690"/>
      <c r="F4" s="690"/>
      <c r="G4" s="690"/>
      <c r="H4" s="690"/>
      <c r="I4" s="690"/>
      <c r="J4" s="690"/>
      <c r="K4" s="690"/>
      <c r="L4" s="690"/>
      <c r="M4" s="690"/>
    </row>
    <row r="5" spans="1:14" ht="12" customHeight="1">
      <c r="A5" s="694"/>
      <c r="B5" s="1036" t="s">
        <v>623</v>
      </c>
      <c r="C5" s="1037"/>
      <c r="D5" s="695" t="s">
        <v>624</v>
      </c>
      <c r="E5" s="696" t="s">
        <v>625</v>
      </c>
      <c r="F5" s="697"/>
      <c r="G5" s="697"/>
      <c r="H5" s="697"/>
      <c r="I5" s="698"/>
      <c r="J5" s="696" t="s">
        <v>626</v>
      </c>
      <c r="K5" s="699"/>
      <c r="L5" s="700"/>
      <c r="M5" s="701"/>
    </row>
    <row r="6" spans="1:14" ht="12" customHeight="1">
      <c r="A6" s="702">
        <f>J18</f>
        <v>67.5</v>
      </c>
      <c r="B6" s="1072" t="s">
        <v>471</v>
      </c>
      <c r="C6" s="1073"/>
      <c r="D6" s="1075" t="s">
        <v>627</v>
      </c>
      <c r="E6" s="703"/>
      <c r="F6" s="701"/>
      <c r="G6" s="701"/>
      <c r="H6" s="701"/>
      <c r="I6" s="704"/>
      <c r="J6" s="705" t="s">
        <v>628</v>
      </c>
      <c r="K6" s="706"/>
      <c r="L6" s="700"/>
      <c r="M6" s="701"/>
    </row>
    <row r="7" spans="1:14" s="713" customFormat="1" ht="13.5" customHeight="1">
      <c r="A7" s="707"/>
      <c r="B7" s="1074"/>
      <c r="C7" s="1048"/>
      <c r="D7" s="1076"/>
      <c r="E7" s="708" t="s">
        <v>629</v>
      </c>
      <c r="F7" s="709"/>
      <c r="G7" s="1077" t="s">
        <v>630</v>
      </c>
      <c r="H7" s="1078"/>
      <c r="I7" s="1079"/>
      <c r="J7" s="708" t="s">
        <v>631</v>
      </c>
      <c r="K7" s="710"/>
      <c r="L7" s="711"/>
      <c r="M7" s="712"/>
    </row>
    <row r="8" spans="1:14" ht="12.75" customHeight="1">
      <c r="A8" s="714"/>
      <c r="B8" s="1067" t="s">
        <v>632</v>
      </c>
      <c r="C8" s="1033"/>
      <c r="D8" s="715" t="s">
        <v>633</v>
      </c>
      <c r="E8" s="715" t="s">
        <v>634</v>
      </c>
      <c r="F8" s="715" t="s">
        <v>635</v>
      </c>
      <c r="G8" s="715" t="s">
        <v>636</v>
      </c>
      <c r="H8" s="1068" t="s">
        <v>637</v>
      </c>
      <c r="I8" s="1069"/>
      <c r="J8" s="1069"/>
      <c r="K8" s="1070"/>
      <c r="L8" s="716"/>
      <c r="M8" s="717"/>
      <c r="N8" s="713"/>
    </row>
    <row r="9" spans="1:14" ht="12.75" customHeight="1">
      <c r="A9" s="714"/>
      <c r="B9" s="1059" t="s">
        <v>638</v>
      </c>
      <c r="C9" s="1060"/>
      <c r="D9" s="1063" t="s">
        <v>639</v>
      </c>
      <c r="E9" s="1063" t="s">
        <v>640</v>
      </c>
      <c r="F9" s="1063" t="s">
        <v>641</v>
      </c>
      <c r="G9" s="1063" t="s">
        <v>642</v>
      </c>
      <c r="H9" s="718" t="s">
        <v>643</v>
      </c>
      <c r="I9" s="719"/>
      <c r="J9" s="718" t="s">
        <v>644</v>
      </c>
      <c r="K9" s="720"/>
      <c r="L9" s="721"/>
    </row>
    <row r="10" spans="1:14" ht="15" customHeight="1">
      <c r="A10" s="714"/>
      <c r="B10" s="1061"/>
      <c r="C10" s="1062"/>
      <c r="D10" s="1064"/>
      <c r="E10" s="1064"/>
      <c r="F10" s="1064"/>
      <c r="G10" s="1064"/>
      <c r="H10" s="1065"/>
      <c r="I10" s="1066"/>
      <c r="J10" s="1043" t="s">
        <v>645</v>
      </c>
      <c r="K10" s="1044"/>
      <c r="L10" s="722"/>
      <c r="M10" s="723"/>
      <c r="N10" s="701"/>
    </row>
    <row r="11" spans="1:14" ht="12.75" customHeight="1">
      <c r="A11" s="714"/>
      <c r="B11" s="724" t="s">
        <v>646</v>
      </c>
      <c r="C11" s="725"/>
      <c r="D11" s="1045" t="s">
        <v>647</v>
      </c>
      <c r="E11" s="1046"/>
      <c r="F11" s="1046"/>
      <c r="G11" s="1047"/>
      <c r="H11" s="726" t="s">
        <v>648</v>
      </c>
      <c r="I11" s="719"/>
      <c r="J11" s="727" t="s">
        <v>644</v>
      </c>
      <c r="K11" s="720"/>
      <c r="L11" s="721"/>
    </row>
    <row r="12" spans="1:14" ht="15" customHeight="1">
      <c r="A12" s="714"/>
      <c r="B12" s="728" t="s">
        <v>649</v>
      </c>
      <c r="C12" s="729"/>
      <c r="D12" s="1043"/>
      <c r="E12" s="1048"/>
      <c r="F12" s="1048"/>
      <c r="G12" s="1049"/>
      <c r="H12" s="1050" t="s">
        <v>650</v>
      </c>
      <c r="I12" s="1051"/>
      <c r="J12" s="1008"/>
      <c r="K12" s="1052"/>
      <c r="L12" s="711"/>
      <c r="M12" s="730"/>
    </row>
    <row r="13" spans="1:14" ht="15" customHeight="1">
      <c r="A13" s="714"/>
      <c r="B13" s="1053" t="s">
        <v>651</v>
      </c>
      <c r="C13" s="1054"/>
      <c r="D13" s="731" t="s">
        <v>652</v>
      </c>
      <c r="E13" s="732" t="s">
        <v>653</v>
      </c>
      <c r="F13" s="1057" t="s">
        <v>654</v>
      </c>
      <c r="G13" s="1057" t="s">
        <v>655</v>
      </c>
      <c r="H13" s="733" t="s">
        <v>656</v>
      </c>
      <c r="I13" s="734"/>
      <c r="J13" s="735"/>
      <c r="K13" s="736"/>
      <c r="L13" s="711"/>
      <c r="M13" s="730"/>
    </row>
    <row r="14" spans="1:14" ht="15" customHeight="1">
      <c r="A14" s="714"/>
      <c r="B14" s="1055"/>
      <c r="C14" s="1056"/>
      <c r="D14" s="737" t="s">
        <v>41</v>
      </c>
      <c r="E14" s="738" t="s">
        <v>41</v>
      </c>
      <c r="F14" s="1058"/>
      <c r="G14" s="1058"/>
      <c r="H14" s="739" t="s">
        <v>41</v>
      </c>
      <c r="I14" s="740"/>
      <c r="J14" s="709" t="s">
        <v>657</v>
      </c>
      <c r="K14" s="741"/>
      <c r="L14" s="716"/>
      <c r="M14" s="712"/>
    </row>
    <row r="15" spans="1:14" ht="12.75">
      <c r="A15" s="714"/>
      <c r="B15" s="1019" t="s">
        <v>658</v>
      </c>
      <c r="C15" s="1020"/>
      <c r="D15" s="1021"/>
      <c r="E15" s="1025" t="s">
        <v>659</v>
      </c>
      <c r="F15" s="1026"/>
      <c r="G15" s="1026"/>
      <c r="H15" s="1027"/>
      <c r="I15" s="1027"/>
      <c r="J15" s="1027"/>
      <c r="K15" s="1028"/>
      <c r="L15" s="742"/>
      <c r="M15" s="743"/>
    </row>
    <row r="16" spans="1:14" ht="12.75">
      <c r="A16" s="714"/>
      <c r="B16" s="1022"/>
      <c r="C16" s="1023"/>
      <c r="D16" s="1024"/>
      <c r="E16" s="1029"/>
      <c r="F16" s="1030"/>
      <c r="G16" s="1030"/>
      <c r="H16" s="1030"/>
      <c r="I16" s="1030"/>
      <c r="J16" s="1030"/>
      <c r="K16" s="1031"/>
      <c r="L16" s="742"/>
      <c r="M16" s="743"/>
    </row>
    <row r="17" spans="1:15" ht="15.75" customHeight="1">
      <c r="A17" s="744"/>
      <c r="B17" s="745" t="s">
        <v>660</v>
      </c>
      <c r="C17" s="1032" t="s">
        <v>661</v>
      </c>
      <c r="D17" s="1033"/>
      <c r="E17" s="1033"/>
      <c r="F17" s="1034"/>
      <c r="G17" s="746" t="s">
        <v>662</v>
      </c>
      <c r="H17" s="746" t="s">
        <v>663</v>
      </c>
      <c r="I17" s="747" t="s">
        <v>664</v>
      </c>
      <c r="J17" s="748" t="s">
        <v>665</v>
      </c>
      <c r="K17" s="749" t="s">
        <v>666</v>
      </c>
    </row>
    <row r="18" spans="1:15" ht="15.95" customHeight="1">
      <c r="A18" s="744"/>
      <c r="B18" s="745"/>
      <c r="C18" s="751" t="s">
        <v>667</v>
      </c>
      <c r="D18" s="751"/>
      <c r="E18" s="751"/>
      <c r="F18" s="751"/>
      <c r="G18" s="746"/>
      <c r="H18" s="752"/>
      <c r="I18" s="753"/>
      <c r="J18" s="754">
        <v>67.5</v>
      </c>
      <c r="K18" s="755"/>
      <c r="L18" s="716"/>
      <c r="M18" s="723"/>
    </row>
    <row r="19" spans="1:15" ht="15.95" customHeight="1">
      <c r="A19" s="744"/>
      <c r="B19" s="756">
        <v>1</v>
      </c>
      <c r="C19" s="751" t="s">
        <v>668</v>
      </c>
      <c r="D19" s="751"/>
      <c r="E19" s="751"/>
      <c r="F19" s="751"/>
      <c r="G19" s="757" t="s">
        <v>669</v>
      </c>
      <c r="H19" s="758">
        <v>13.375</v>
      </c>
      <c r="I19" s="759">
        <v>3.9580000000000002</v>
      </c>
      <c r="J19" s="754">
        <v>1</v>
      </c>
      <c r="K19" s="760"/>
      <c r="L19" s="716"/>
      <c r="M19" s="723"/>
    </row>
    <row r="20" spans="1:15" ht="15.95" customHeight="1">
      <c r="A20" s="744"/>
      <c r="B20" s="756">
        <v>2</v>
      </c>
      <c r="C20" s="761" t="s">
        <v>670</v>
      </c>
      <c r="D20" s="762"/>
      <c r="E20" s="762"/>
      <c r="F20" s="762"/>
      <c r="G20" s="757" t="s">
        <v>669</v>
      </c>
      <c r="H20" s="758">
        <v>4.5</v>
      </c>
      <c r="I20" s="759">
        <v>3.9580000000000002</v>
      </c>
      <c r="J20" s="754">
        <v>317.92</v>
      </c>
      <c r="K20" s="763"/>
      <c r="L20" s="716"/>
      <c r="M20" s="723"/>
    </row>
    <row r="21" spans="1:15" ht="15.95" customHeight="1">
      <c r="A21" s="744"/>
      <c r="B21" s="764">
        <v>3</v>
      </c>
      <c r="C21" s="765" t="s">
        <v>671</v>
      </c>
      <c r="D21" s="766"/>
      <c r="E21" s="766"/>
      <c r="F21" s="767"/>
      <c r="G21" s="768" t="s">
        <v>669</v>
      </c>
      <c r="H21" s="769">
        <v>6.625</v>
      </c>
      <c r="I21" s="770">
        <v>3.8130000000000002</v>
      </c>
      <c r="J21" s="771">
        <v>6.1</v>
      </c>
      <c r="K21" s="772">
        <f>SUM(J18:J20)</f>
        <v>386.42</v>
      </c>
      <c r="M21" s="723"/>
    </row>
    <row r="22" spans="1:15" ht="15.95" customHeight="1">
      <c r="A22" s="744"/>
      <c r="B22" s="756">
        <v>4</v>
      </c>
      <c r="C22" s="751" t="s">
        <v>672</v>
      </c>
      <c r="D22" s="762"/>
      <c r="E22" s="762"/>
      <c r="F22" s="762"/>
      <c r="G22" s="757" t="s">
        <v>669</v>
      </c>
      <c r="H22" s="758">
        <v>4.5</v>
      </c>
      <c r="I22" s="759">
        <v>3.9580000000000002</v>
      </c>
      <c r="J22" s="754">
        <v>30.56</v>
      </c>
      <c r="K22" s="763"/>
      <c r="L22" s="716"/>
      <c r="M22" s="723"/>
    </row>
    <row r="23" spans="1:15" ht="15.95" customHeight="1">
      <c r="A23" s="744"/>
      <c r="B23" s="756">
        <v>5</v>
      </c>
      <c r="C23" s="773" t="s">
        <v>673</v>
      </c>
      <c r="D23" s="774"/>
      <c r="E23" s="774"/>
      <c r="F23" s="774"/>
      <c r="G23" s="757" t="s">
        <v>669</v>
      </c>
      <c r="H23" s="758">
        <v>4.5</v>
      </c>
      <c r="I23" s="759">
        <v>3.9580000000000002</v>
      </c>
      <c r="J23" s="754">
        <v>10.1</v>
      </c>
      <c r="K23" s="763"/>
      <c r="L23" s="716"/>
      <c r="M23" s="723"/>
      <c r="O23" s="775"/>
    </row>
    <row r="24" spans="1:15" ht="15.95" customHeight="1">
      <c r="A24" s="744"/>
      <c r="B24" s="764">
        <v>6</v>
      </c>
      <c r="C24" s="765" t="s">
        <v>674</v>
      </c>
      <c r="D24" s="766"/>
      <c r="E24" s="766"/>
      <c r="F24" s="766"/>
      <c r="G24" s="768" t="s">
        <v>675</v>
      </c>
      <c r="H24" s="769">
        <v>8.5</v>
      </c>
      <c r="I24" s="770">
        <v>3.9580000000000002</v>
      </c>
      <c r="J24" s="771">
        <v>4.5199999999999996</v>
      </c>
      <c r="K24" s="772">
        <f>SUM(J18:J23)</f>
        <v>433.18000000000006</v>
      </c>
      <c r="L24" s="716"/>
      <c r="M24" s="723"/>
    </row>
    <row r="25" spans="1:15" ht="15.95" customHeight="1">
      <c r="A25" s="744"/>
      <c r="B25" s="756">
        <v>7</v>
      </c>
      <c r="C25" s="751" t="s">
        <v>672</v>
      </c>
      <c r="D25" s="774"/>
      <c r="E25" s="774"/>
      <c r="F25" s="774"/>
      <c r="G25" s="757" t="s">
        <v>669</v>
      </c>
      <c r="H25" s="758">
        <v>4.5</v>
      </c>
      <c r="I25" s="759">
        <v>3.9580000000000002</v>
      </c>
      <c r="J25" s="754">
        <v>30.32</v>
      </c>
      <c r="K25" s="763"/>
      <c r="L25" s="716"/>
      <c r="M25" s="723"/>
    </row>
    <row r="26" spans="1:15" ht="15.95" customHeight="1">
      <c r="A26" s="744"/>
      <c r="B26" s="764">
        <v>9</v>
      </c>
      <c r="C26" s="765" t="s">
        <v>676</v>
      </c>
      <c r="D26" s="766"/>
      <c r="E26" s="766"/>
      <c r="F26" s="766"/>
      <c r="G26" s="768" t="s">
        <v>669</v>
      </c>
      <c r="H26" s="769">
        <v>4.5</v>
      </c>
      <c r="I26" s="770">
        <v>3.8130000000000002</v>
      </c>
      <c r="J26" s="776">
        <v>1.43</v>
      </c>
      <c r="K26" s="772">
        <f>SUM(J18:J25)</f>
        <v>468.02000000000004</v>
      </c>
      <c r="L26" s="716"/>
      <c r="M26" s="723"/>
    </row>
    <row r="27" spans="1:15" ht="15.95" customHeight="1">
      <c r="A27" s="744"/>
      <c r="B27" s="756">
        <v>10</v>
      </c>
      <c r="C27" s="761" t="s">
        <v>677</v>
      </c>
      <c r="D27" s="762"/>
      <c r="E27" s="762"/>
      <c r="F27" s="762"/>
      <c r="G27" s="757" t="s">
        <v>669</v>
      </c>
      <c r="H27" s="758">
        <v>5.5</v>
      </c>
      <c r="I27" s="759">
        <v>3.9580000000000002</v>
      </c>
      <c r="J27" s="754">
        <v>5.57</v>
      </c>
      <c r="K27" s="763"/>
      <c r="L27" s="716"/>
      <c r="M27" s="723"/>
    </row>
    <row r="28" spans="1:15" ht="15.95" customHeight="1">
      <c r="A28" s="744"/>
      <c r="B28" s="756">
        <v>11</v>
      </c>
      <c r="C28" s="761" t="s">
        <v>678</v>
      </c>
      <c r="D28" s="762"/>
      <c r="E28" s="762"/>
      <c r="F28" s="762"/>
      <c r="G28" s="757" t="s">
        <v>669</v>
      </c>
      <c r="H28" s="758">
        <v>4.5</v>
      </c>
      <c r="I28" s="759">
        <v>3.9580000000000002</v>
      </c>
      <c r="J28" s="754">
        <v>3548.51</v>
      </c>
      <c r="K28" s="777">
        <f>SUM(J18:J28)</f>
        <v>4023.53</v>
      </c>
      <c r="L28" s="716"/>
      <c r="M28" s="723"/>
      <c r="N28" s="778"/>
    </row>
    <row r="29" spans="1:15" ht="15.95" customHeight="1">
      <c r="A29" s="744"/>
      <c r="B29" s="756">
        <v>14</v>
      </c>
      <c r="C29" s="751" t="s">
        <v>679</v>
      </c>
      <c r="D29" s="762"/>
      <c r="E29" s="762"/>
      <c r="F29" s="762"/>
      <c r="G29" s="757" t="s">
        <v>680</v>
      </c>
      <c r="H29" s="758">
        <v>6.75</v>
      </c>
      <c r="I29" s="779"/>
      <c r="J29" s="780">
        <v>0.65</v>
      </c>
      <c r="K29" s="781"/>
      <c r="L29" s="716"/>
      <c r="M29" s="723"/>
    </row>
    <row r="30" spans="1:15" ht="15.95" customHeight="1">
      <c r="A30" s="744"/>
      <c r="B30" s="756">
        <v>15</v>
      </c>
      <c r="C30" s="751" t="s">
        <v>681</v>
      </c>
      <c r="D30" s="774"/>
      <c r="E30" s="774"/>
      <c r="F30" s="774"/>
      <c r="G30" s="757" t="s">
        <v>680</v>
      </c>
      <c r="H30" s="782">
        <v>7</v>
      </c>
      <c r="I30" s="783"/>
      <c r="J30" s="754">
        <v>6.5</v>
      </c>
      <c r="K30" s="784"/>
      <c r="L30" s="716"/>
      <c r="M30" s="723"/>
    </row>
    <row r="31" spans="1:15" ht="15.95" customHeight="1">
      <c r="A31" s="744"/>
      <c r="B31" s="756">
        <v>16</v>
      </c>
      <c r="C31" s="761" t="s">
        <v>682</v>
      </c>
      <c r="D31" s="774"/>
      <c r="E31" s="774"/>
      <c r="F31" s="774"/>
      <c r="G31" s="757" t="s">
        <v>680</v>
      </c>
      <c r="H31" s="758">
        <v>7</v>
      </c>
      <c r="I31" s="783"/>
      <c r="J31" s="780">
        <v>12</v>
      </c>
      <c r="K31" s="784"/>
      <c r="L31" s="716"/>
      <c r="M31" s="723"/>
    </row>
    <row r="32" spans="1:15" ht="15.95" customHeight="1">
      <c r="A32" s="744"/>
      <c r="B32" s="756">
        <v>17</v>
      </c>
      <c r="C32" s="701" t="s">
        <v>683</v>
      </c>
      <c r="D32" s="774"/>
      <c r="E32" s="774"/>
      <c r="F32" s="774"/>
      <c r="G32" s="757" t="s">
        <v>680</v>
      </c>
      <c r="H32" s="785">
        <v>5.375</v>
      </c>
      <c r="I32" s="783"/>
      <c r="J32" s="780">
        <v>6.1</v>
      </c>
      <c r="K32" s="763"/>
      <c r="L32" s="716"/>
      <c r="M32" s="723"/>
    </row>
    <row r="33" spans="1:13" ht="15.95" customHeight="1">
      <c r="A33" s="744"/>
      <c r="B33" s="756">
        <v>18</v>
      </c>
      <c r="C33" s="786" t="s">
        <v>684</v>
      </c>
      <c r="D33" s="787"/>
      <c r="E33" s="788"/>
      <c r="F33" s="787"/>
      <c r="G33" s="757" t="s">
        <v>680</v>
      </c>
      <c r="H33" s="785">
        <v>5.375</v>
      </c>
      <c r="I33" s="783"/>
      <c r="J33" s="780">
        <v>6.1</v>
      </c>
      <c r="K33" s="763"/>
      <c r="L33" s="716"/>
      <c r="M33" s="723"/>
    </row>
    <row r="34" spans="1:13" ht="15.95" customHeight="1">
      <c r="A34" s="744"/>
      <c r="B34" s="756">
        <v>19</v>
      </c>
      <c r="C34" s="789" t="s">
        <v>685</v>
      </c>
      <c r="D34" s="774"/>
      <c r="E34" s="774"/>
      <c r="F34" s="774"/>
      <c r="G34" s="757" t="s">
        <v>680</v>
      </c>
      <c r="H34" s="785">
        <v>5.625</v>
      </c>
      <c r="I34" s="783"/>
      <c r="J34" s="754">
        <v>21.56</v>
      </c>
      <c r="K34" s="763"/>
      <c r="L34" s="716"/>
      <c r="M34" s="723"/>
    </row>
    <row r="35" spans="1:13" ht="15.95" customHeight="1">
      <c r="A35" s="744"/>
      <c r="B35" s="756">
        <v>20</v>
      </c>
      <c r="C35" s="789" t="s">
        <v>686</v>
      </c>
      <c r="D35" s="790"/>
      <c r="E35" s="791"/>
      <c r="F35" s="791"/>
      <c r="G35" s="757" t="s">
        <v>680</v>
      </c>
      <c r="H35" s="785">
        <v>5.625</v>
      </c>
      <c r="I35" s="783"/>
      <c r="J35" s="780">
        <v>21.15</v>
      </c>
      <c r="K35" s="763"/>
      <c r="L35" s="716"/>
      <c r="M35" s="723"/>
    </row>
    <row r="36" spans="1:13" ht="15.95" customHeight="1">
      <c r="A36" s="744"/>
      <c r="B36" s="756">
        <v>21</v>
      </c>
      <c r="C36" s="789" t="s">
        <v>687</v>
      </c>
      <c r="D36" s="762"/>
      <c r="E36" s="762"/>
      <c r="F36" s="762"/>
      <c r="G36" s="757" t="s">
        <v>680</v>
      </c>
      <c r="H36" s="785">
        <v>7.625</v>
      </c>
      <c r="I36" s="783"/>
      <c r="J36" s="780">
        <v>2.41</v>
      </c>
      <c r="K36" s="772">
        <f>SUM(J18:J36)</f>
        <v>4100</v>
      </c>
      <c r="L36" s="716"/>
      <c r="M36" s="723"/>
    </row>
    <row r="37" spans="1:13" ht="15.95" customHeight="1">
      <c r="A37" s="744"/>
      <c r="B37" s="756"/>
      <c r="C37" s="792"/>
      <c r="D37" s="774"/>
      <c r="E37" s="774"/>
      <c r="F37" s="774"/>
      <c r="G37" s="793"/>
      <c r="H37" s="794"/>
      <c r="I37" s="783"/>
      <c r="J37" s="795"/>
      <c r="K37" s="777"/>
      <c r="L37" s="716"/>
      <c r="M37" s="723"/>
    </row>
    <row r="38" spans="1:13" ht="15.95" customHeight="1">
      <c r="A38" s="744"/>
      <c r="B38" s="745"/>
      <c r="C38" s="792"/>
      <c r="D38" s="751"/>
      <c r="E38" s="751"/>
      <c r="F38" s="751"/>
      <c r="G38" s="757"/>
      <c r="H38" s="794"/>
      <c r="I38" s="759"/>
      <c r="J38" s="780"/>
      <c r="K38" s="763"/>
      <c r="L38" s="716"/>
      <c r="M38" s="723"/>
    </row>
    <row r="39" spans="1:13" ht="15.95" customHeight="1">
      <c r="A39" s="744"/>
      <c r="B39" s="745"/>
      <c r="C39" s="792"/>
      <c r="D39" s="796"/>
      <c r="E39" s="797" t="s">
        <v>688</v>
      </c>
      <c r="F39" s="798"/>
      <c r="G39" s="768"/>
      <c r="H39" s="799"/>
      <c r="I39" s="770"/>
      <c r="J39" s="800"/>
      <c r="K39" s="801">
        <f>SUM(J18:J36)</f>
        <v>4100</v>
      </c>
      <c r="L39" s="716"/>
      <c r="M39" s="723"/>
    </row>
    <row r="40" spans="1:13" ht="15.95" customHeight="1">
      <c r="A40" s="744"/>
      <c r="B40" s="745"/>
      <c r="C40" s="792"/>
      <c r="D40" s="802"/>
      <c r="E40" s="803"/>
      <c r="F40" s="803"/>
      <c r="G40" s="757"/>
      <c r="H40" s="794"/>
      <c r="I40" s="794"/>
      <c r="J40" s="804"/>
      <c r="K40" s="805"/>
      <c r="L40" s="716"/>
      <c r="M40" s="723"/>
    </row>
    <row r="41" spans="1:13" ht="15.95" customHeight="1">
      <c r="A41" s="744"/>
      <c r="B41" s="745"/>
      <c r="C41" s="792"/>
      <c r="D41" s="773"/>
      <c r="E41" s="806"/>
      <c r="F41" s="806"/>
      <c r="G41" s="757"/>
      <c r="H41" s="794"/>
      <c r="I41" s="759"/>
      <c r="J41" s="804"/>
      <c r="K41" s="784"/>
      <c r="L41" s="716"/>
      <c r="M41" s="723"/>
    </row>
    <row r="42" spans="1:13" ht="15.95" customHeight="1">
      <c r="A42" s="744"/>
      <c r="B42" s="745"/>
      <c r="C42" s="792"/>
      <c r="D42" s="802"/>
      <c r="E42" s="773"/>
      <c r="F42" s="803"/>
      <c r="G42" s="757"/>
      <c r="H42" s="794"/>
      <c r="I42" s="759"/>
      <c r="J42" s="804"/>
      <c r="K42" s="805"/>
      <c r="L42" s="716"/>
      <c r="M42" s="723"/>
    </row>
    <row r="43" spans="1:13" ht="15.95" customHeight="1">
      <c r="A43" s="744"/>
      <c r="B43" s="745"/>
      <c r="C43" s="792"/>
      <c r="D43" s="807"/>
      <c r="E43" s="808"/>
      <c r="F43" s="808"/>
      <c r="G43" s="809"/>
      <c r="H43" s="794"/>
      <c r="I43" s="759"/>
      <c r="J43" s="804"/>
      <c r="K43" s="805"/>
      <c r="L43" s="716"/>
      <c r="M43" s="723"/>
    </row>
    <row r="44" spans="1:13" ht="15.95" customHeight="1">
      <c r="A44" s="744"/>
      <c r="B44" s="810" t="s">
        <v>689</v>
      </c>
      <c r="C44" s="811" t="s">
        <v>690</v>
      </c>
      <c r="D44" s="806"/>
      <c r="E44" s="806"/>
      <c r="F44" s="806"/>
      <c r="G44" s="757" t="s">
        <v>669</v>
      </c>
      <c r="H44" s="794"/>
      <c r="I44" s="759"/>
      <c r="J44" s="780"/>
      <c r="K44" s="784"/>
      <c r="L44" s="711"/>
      <c r="M44" s="812"/>
    </row>
    <row r="45" spans="1:13" ht="15.95" customHeight="1">
      <c r="A45" s="744"/>
      <c r="B45" s="810" t="s">
        <v>691</v>
      </c>
      <c r="C45" s="811" t="s">
        <v>692</v>
      </c>
      <c r="D45" s="813"/>
      <c r="E45" s="813"/>
      <c r="F45" s="813"/>
      <c r="G45" s="757" t="s">
        <v>680</v>
      </c>
      <c r="H45" s="794"/>
      <c r="I45" s="759"/>
      <c r="J45" s="780"/>
      <c r="K45" s="814"/>
      <c r="L45" s="711"/>
      <c r="M45" s="812"/>
    </row>
    <row r="46" spans="1:13" ht="15.95" customHeight="1">
      <c r="A46" s="744"/>
      <c r="B46" s="810" t="s">
        <v>693</v>
      </c>
      <c r="C46" s="811" t="s">
        <v>694</v>
      </c>
      <c r="D46" s="808"/>
      <c r="E46" s="808"/>
      <c r="F46" s="808"/>
      <c r="G46" s="757" t="s">
        <v>680</v>
      </c>
      <c r="H46" s="794"/>
      <c r="I46" s="759"/>
      <c r="J46" s="780"/>
      <c r="K46" s="784"/>
      <c r="L46" s="711"/>
      <c r="M46" s="812"/>
    </row>
    <row r="47" spans="1:13" ht="15.95" customHeight="1">
      <c r="A47" s="744"/>
      <c r="B47" s="810" t="s">
        <v>695</v>
      </c>
      <c r="C47" s="773" t="s">
        <v>696</v>
      </c>
      <c r="D47" s="803"/>
      <c r="E47" s="803"/>
      <c r="F47" s="803"/>
      <c r="G47" s="757" t="s">
        <v>697</v>
      </c>
      <c r="H47" s="815"/>
      <c r="I47" s="759"/>
      <c r="J47" s="780"/>
      <c r="K47" s="805"/>
      <c r="M47" s="723"/>
    </row>
    <row r="48" spans="1:13" ht="15.95" customHeight="1">
      <c r="A48" s="744"/>
      <c r="B48" s="810" t="s">
        <v>698</v>
      </c>
      <c r="C48" s="773" t="s">
        <v>699</v>
      </c>
      <c r="D48" s="773"/>
      <c r="E48" s="773"/>
      <c r="F48" s="773"/>
      <c r="G48" s="757" t="s">
        <v>697</v>
      </c>
      <c r="H48" s="794"/>
      <c r="I48" s="759"/>
      <c r="J48" s="780"/>
      <c r="K48" s="784"/>
      <c r="M48" s="723"/>
    </row>
    <row r="49" spans="1:13" ht="15.95" customHeight="1">
      <c r="A49" s="744"/>
      <c r="B49" s="810" t="s">
        <v>700</v>
      </c>
      <c r="C49" s="773" t="s">
        <v>701</v>
      </c>
      <c r="D49" s="773"/>
      <c r="E49" s="773"/>
      <c r="F49" s="773"/>
      <c r="G49" s="757" t="s">
        <v>675</v>
      </c>
      <c r="H49" s="794"/>
      <c r="I49" s="759"/>
      <c r="J49" s="780"/>
      <c r="K49" s="784"/>
      <c r="L49" s="711"/>
      <c r="M49" s="812"/>
    </row>
    <row r="50" spans="1:13" ht="15.95" customHeight="1">
      <c r="A50" s="744"/>
      <c r="B50" s="810" t="s">
        <v>702</v>
      </c>
      <c r="C50" s="773" t="s">
        <v>703</v>
      </c>
      <c r="D50" s="806"/>
      <c r="E50" s="773"/>
      <c r="F50" s="773"/>
      <c r="G50" s="757" t="s">
        <v>680</v>
      </c>
      <c r="H50" s="794"/>
      <c r="I50" s="759"/>
      <c r="J50" s="780"/>
      <c r="K50" s="784"/>
      <c r="L50" s="711"/>
      <c r="M50" s="812"/>
    </row>
    <row r="51" spans="1:13" ht="15.95" customHeight="1">
      <c r="A51" s="744"/>
      <c r="B51" s="810" t="s">
        <v>704</v>
      </c>
      <c r="C51" s="773" t="s">
        <v>705</v>
      </c>
      <c r="D51" s="806"/>
      <c r="E51" s="773"/>
      <c r="F51" s="773"/>
      <c r="G51" s="757" t="s">
        <v>669</v>
      </c>
      <c r="H51" s="794"/>
      <c r="I51" s="759"/>
      <c r="J51" s="780"/>
      <c r="K51" s="784"/>
      <c r="L51" s="711"/>
      <c r="M51" s="812"/>
    </row>
    <row r="52" spans="1:13" ht="15.95" customHeight="1">
      <c r="A52" s="744"/>
      <c r="B52" s="816"/>
      <c r="C52" s="730"/>
      <c r="D52" s="817"/>
      <c r="E52" s="712"/>
      <c r="F52" s="712"/>
      <c r="G52" s="818"/>
      <c r="H52" s="819"/>
      <c r="I52" s="1035"/>
      <c r="J52" s="1035"/>
      <c r="K52" s="820">
        <f>K39</f>
        <v>4100</v>
      </c>
      <c r="L52" s="711"/>
      <c r="M52" s="812"/>
    </row>
    <row r="53" spans="1:13" ht="15.95" customHeight="1">
      <c r="A53" s="744"/>
      <c r="B53" s="821" t="s">
        <v>706</v>
      </c>
      <c r="C53" s="807"/>
      <c r="D53" s="822"/>
      <c r="E53" s="822"/>
      <c r="F53" s="822"/>
      <c r="G53" s="822"/>
      <c r="H53" s="822"/>
      <c r="I53" s="822"/>
      <c r="J53" s="822"/>
      <c r="K53" s="823"/>
      <c r="L53" s="711"/>
      <c r="M53" s="812"/>
    </row>
    <row r="54" spans="1:13" ht="15.95" customHeight="1">
      <c r="A54" s="744"/>
      <c r="B54" s="824" t="s">
        <v>187</v>
      </c>
      <c r="C54" s="773" t="s">
        <v>707</v>
      </c>
      <c r="D54" s="709"/>
      <c r="E54" s="825"/>
      <c r="F54" s="709"/>
      <c r="G54" s="709"/>
      <c r="H54" s="808"/>
      <c r="I54" s="808"/>
      <c r="J54" s="808"/>
      <c r="K54" s="706"/>
      <c r="M54" s="723"/>
    </row>
    <row r="55" spans="1:13" ht="15" customHeight="1">
      <c r="A55" s="744"/>
      <c r="B55" s="824" t="s">
        <v>187</v>
      </c>
      <c r="C55" s="773" t="s">
        <v>708</v>
      </c>
      <c r="D55" s="773"/>
      <c r="F55" s="773"/>
      <c r="G55" s="773"/>
      <c r="H55" s="773"/>
      <c r="I55" s="773"/>
      <c r="J55" s="773"/>
      <c r="K55" s="826"/>
      <c r="L55" s="711"/>
      <c r="M55" s="701"/>
    </row>
    <row r="56" spans="1:13" ht="15.95" customHeight="1">
      <c r="A56" s="744"/>
      <c r="B56" s="824" t="s">
        <v>187</v>
      </c>
      <c r="C56" s="773" t="s">
        <v>709</v>
      </c>
      <c r="D56" s="773"/>
      <c r="E56" s="773"/>
      <c r="F56" s="773"/>
      <c r="G56" s="773"/>
      <c r="H56" s="773"/>
      <c r="I56" s="773"/>
      <c r="J56" s="773"/>
      <c r="K56" s="826"/>
      <c r="L56" s="711"/>
      <c r="M56" s="701"/>
    </row>
    <row r="57" spans="1:13" ht="15.95" customHeight="1">
      <c r="A57" s="744"/>
      <c r="B57" s="824" t="s">
        <v>187</v>
      </c>
      <c r="C57" s="773" t="s">
        <v>710</v>
      </c>
      <c r="D57" s="773"/>
      <c r="E57" s="773"/>
      <c r="F57" s="773"/>
      <c r="G57" s="773"/>
      <c r="H57" s="773"/>
      <c r="I57" s="773"/>
      <c r="J57" s="773"/>
      <c r="K57" s="826"/>
      <c r="L57" s="711"/>
      <c r="M57" s="701"/>
    </row>
    <row r="58" spans="1:13" ht="15.95" customHeight="1">
      <c r="A58" s="744"/>
      <c r="B58" s="824" t="s">
        <v>187</v>
      </c>
      <c r="C58" s="773" t="s">
        <v>711</v>
      </c>
      <c r="D58" s="773"/>
      <c r="E58" s="773"/>
      <c r="F58" s="773"/>
      <c r="G58" s="773"/>
      <c r="H58" s="773"/>
      <c r="I58" s="773"/>
      <c r="J58" s="773"/>
      <c r="K58" s="826"/>
      <c r="L58" s="711"/>
      <c r="M58" s="701"/>
    </row>
    <row r="59" spans="1:13" ht="15.95" customHeight="1">
      <c r="A59" s="744"/>
      <c r="B59" s="827"/>
      <c r="C59" s="773"/>
      <c r="D59" s="773"/>
      <c r="E59" s="773"/>
      <c r="F59" s="773"/>
      <c r="G59" s="773"/>
      <c r="H59" s="773"/>
      <c r="I59" s="773"/>
      <c r="J59" s="773"/>
      <c r="K59" s="826"/>
      <c r="L59" s="711"/>
      <c r="M59" s="701"/>
    </row>
    <row r="60" spans="1:13" ht="15.95" customHeight="1">
      <c r="A60" s="744"/>
      <c r="B60" s="828" t="s">
        <v>712</v>
      </c>
      <c r="C60" s="773"/>
      <c r="D60" s="773"/>
      <c r="E60" s="773"/>
      <c r="F60" s="773"/>
      <c r="G60" s="773"/>
      <c r="H60" s="773"/>
      <c r="I60" s="773"/>
      <c r="J60" s="773"/>
      <c r="K60" s="826"/>
      <c r="L60" s="711"/>
      <c r="M60" s="701"/>
    </row>
    <row r="61" spans="1:13" ht="15.95" customHeight="1">
      <c r="A61" s="744"/>
      <c r="B61" s="829"/>
      <c r="C61" s="701" t="s">
        <v>713</v>
      </c>
      <c r="D61" s="773"/>
      <c r="E61" s="773"/>
      <c r="F61" s="773"/>
      <c r="G61" s="773"/>
      <c r="H61" s="773"/>
      <c r="I61" s="773"/>
      <c r="J61" s="773"/>
      <c r="K61" s="826"/>
      <c r="L61" s="711"/>
      <c r="M61" s="701"/>
    </row>
    <row r="62" spans="1:13" ht="15.95" customHeight="1">
      <c r="A62" s="744"/>
      <c r="B62" s="829"/>
      <c r="C62" s="773" t="s">
        <v>714</v>
      </c>
      <c r="D62" s="773"/>
      <c r="E62" s="773"/>
      <c r="F62" s="773"/>
      <c r="G62" s="773"/>
      <c r="H62" s="773"/>
      <c r="I62" s="773"/>
      <c r="J62" s="773"/>
      <c r="K62" s="826"/>
      <c r="L62" s="830"/>
      <c r="M62" s="701"/>
    </row>
    <row r="63" spans="1:13" ht="15.95" customHeight="1">
      <c r="A63" s="744"/>
      <c r="B63" s="829"/>
      <c r="C63" s="773"/>
      <c r="D63" s="709"/>
      <c r="E63" s="773"/>
      <c r="F63" s="773"/>
      <c r="G63" s="773"/>
      <c r="H63" s="773"/>
      <c r="I63" s="773"/>
      <c r="J63" s="773"/>
      <c r="K63" s="826"/>
      <c r="L63" s="830"/>
      <c r="M63" s="701"/>
    </row>
    <row r="64" spans="1:13" ht="15.95" customHeight="1" thickBot="1">
      <c r="A64" s="744"/>
      <c r="B64" s="831"/>
      <c r="C64" s="832"/>
      <c r="D64" s="833"/>
      <c r="E64" s="833"/>
      <c r="F64" s="833"/>
      <c r="G64" s="833"/>
      <c r="H64" s="833"/>
      <c r="I64" s="833"/>
      <c r="J64" s="833"/>
      <c r="K64" s="834"/>
      <c r="L64" s="830"/>
      <c r="M64" s="701"/>
    </row>
    <row r="65" spans="1:13" ht="12.95" customHeight="1">
      <c r="A65" s="1036" t="s">
        <v>715</v>
      </c>
      <c r="B65" s="1037"/>
      <c r="C65" s="1037"/>
      <c r="D65" s="1038" t="s">
        <v>716</v>
      </c>
      <c r="E65" s="1039"/>
      <c r="F65" s="1039"/>
      <c r="G65" s="1040"/>
      <c r="H65" s="1041" t="s">
        <v>717</v>
      </c>
      <c r="I65" s="1042"/>
      <c r="J65" s="835" t="s">
        <v>718</v>
      </c>
      <c r="K65" s="836"/>
      <c r="L65" s="837"/>
      <c r="M65" s="701"/>
    </row>
    <row r="66" spans="1:13" ht="15" customHeight="1">
      <c r="A66" s="999"/>
      <c r="B66" s="1000"/>
      <c r="C66" s="1001"/>
      <c r="D66" s="1002"/>
      <c r="E66" s="1003"/>
      <c r="F66" s="1003"/>
      <c r="G66" s="1004"/>
      <c r="H66" s="1008" t="s">
        <v>41</v>
      </c>
      <c r="I66" s="1009"/>
      <c r="J66" s="1010"/>
      <c r="K66" s="1011"/>
      <c r="L66" s="838"/>
      <c r="M66" s="701"/>
    </row>
    <row r="67" spans="1:13" ht="15" customHeight="1" thickBot="1">
      <c r="A67" s="1014" t="s">
        <v>41</v>
      </c>
      <c r="B67" s="1015"/>
      <c r="C67" s="1016"/>
      <c r="D67" s="1005"/>
      <c r="E67" s="1006"/>
      <c r="F67" s="1006"/>
      <c r="G67" s="1007"/>
      <c r="H67" s="1017" t="s">
        <v>41</v>
      </c>
      <c r="I67" s="1018"/>
      <c r="J67" s="1012"/>
      <c r="K67" s="1013"/>
      <c r="L67" s="838"/>
      <c r="M67" s="701"/>
    </row>
    <row r="68" spans="1:13" ht="12.95" customHeight="1">
      <c r="A68" s="750"/>
      <c r="B68" s="839"/>
      <c r="C68" s="840"/>
      <c r="D68" s="840"/>
      <c r="E68" s="840"/>
      <c r="F68" s="839"/>
      <c r="G68" s="839"/>
      <c r="H68" s="839"/>
      <c r="I68" s="839"/>
      <c r="J68" s="839"/>
      <c r="K68" s="839"/>
      <c r="L68" s="701"/>
      <c r="M68" s="701"/>
    </row>
    <row r="69" spans="1:13" ht="12.95" customHeight="1">
      <c r="A69" s="750"/>
      <c r="B69" s="841"/>
      <c r="C69" s="840"/>
      <c r="D69" s="840"/>
      <c r="E69" s="840"/>
      <c r="F69" s="841"/>
      <c r="G69" s="841"/>
      <c r="H69" s="841"/>
      <c r="I69" s="841"/>
      <c r="J69" s="841"/>
      <c r="K69" s="841"/>
      <c r="L69" s="808"/>
      <c r="M69" s="808"/>
    </row>
    <row r="70" spans="1:13" s="843" customFormat="1" ht="12.75">
      <c r="A70" s="842"/>
      <c r="B70" s="723"/>
      <c r="C70" s="723"/>
      <c r="D70" s="723"/>
      <c r="H70" s="812"/>
      <c r="I70" s="812"/>
      <c r="J70" s="812"/>
      <c r="K70" s="812"/>
      <c r="L70" s="723"/>
      <c r="M70" s="723"/>
    </row>
    <row r="71" spans="1:13" ht="12.75" customHeight="1">
      <c r="A71" s="750"/>
      <c r="B71" s="717"/>
      <c r="C71" s="717"/>
      <c r="D71" s="717"/>
      <c r="H71" s="712"/>
      <c r="I71" s="712"/>
      <c r="J71" s="712"/>
      <c r="K71" s="712"/>
      <c r="L71" s="844"/>
      <c r="M71" s="844"/>
    </row>
    <row r="72" spans="1:13" ht="12.75" customHeight="1">
      <c r="A72" s="750"/>
      <c r="B72" s="717"/>
      <c r="C72" s="717"/>
      <c r="D72" s="717"/>
      <c r="E72" s="717"/>
      <c r="F72" s="717"/>
      <c r="G72" s="717"/>
      <c r="H72" s="712"/>
      <c r="I72" s="712"/>
      <c r="J72" s="712"/>
      <c r="K72" s="712"/>
      <c r="L72" s="844"/>
      <c r="M72" s="844"/>
    </row>
    <row r="73" spans="1:13" ht="13.5" customHeight="1">
      <c r="A73" s="750"/>
      <c r="B73" s="717"/>
      <c r="C73" s="717"/>
      <c r="D73" s="717"/>
      <c r="E73" s="717"/>
      <c r="F73" s="717"/>
      <c r="G73" s="717"/>
      <c r="H73" s="712"/>
      <c r="I73" s="712"/>
      <c r="J73" s="712"/>
      <c r="K73" s="712"/>
      <c r="L73" s="844"/>
      <c r="M73" s="844"/>
    </row>
    <row r="74" spans="1:13">
      <c r="A74" s="750"/>
      <c r="B74" s="750"/>
      <c r="C74" s="750"/>
      <c r="D74" s="750"/>
      <c r="E74" s="750"/>
      <c r="F74" s="750"/>
      <c r="G74" s="750"/>
      <c r="H74" s="750"/>
      <c r="I74" s="750"/>
      <c r="J74" s="750"/>
      <c r="K74" s="750"/>
      <c r="M74" s="750"/>
    </row>
    <row r="75" spans="1:13">
      <c r="A75" s="750"/>
      <c r="B75" s="750"/>
      <c r="C75" s="750"/>
      <c r="D75" s="750"/>
      <c r="E75" s="750"/>
      <c r="F75" s="750"/>
      <c r="G75" s="750"/>
      <c r="H75" s="750"/>
      <c r="I75" s="750"/>
      <c r="J75" s="750"/>
      <c r="K75" s="750"/>
      <c r="M75" s="750"/>
    </row>
    <row r="76" spans="1:13">
      <c r="A76" s="750"/>
      <c r="B76" s="750"/>
      <c r="C76" s="750"/>
      <c r="D76" s="750"/>
      <c r="E76" s="750"/>
      <c r="F76" s="750"/>
      <c r="G76" s="750"/>
      <c r="H76" s="750"/>
      <c r="I76" s="750"/>
      <c r="J76" s="750"/>
      <c r="K76" s="750"/>
      <c r="M76" s="750"/>
    </row>
    <row r="77" spans="1:13">
      <c r="A77" s="750"/>
      <c r="B77" s="750"/>
      <c r="C77" s="750"/>
      <c r="D77" s="750"/>
      <c r="E77" s="750"/>
      <c r="F77" s="750"/>
      <c r="G77" s="750"/>
      <c r="H77" s="750"/>
      <c r="I77" s="750"/>
      <c r="J77" s="750"/>
      <c r="K77" s="750"/>
      <c r="M77" s="750"/>
    </row>
    <row r="78" spans="1:13">
      <c r="A78" s="750"/>
      <c r="B78" s="750"/>
      <c r="C78" s="750"/>
      <c r="D78" s="750"/>
      <c r="E78" s="750"/>
      <c r="F78" s="750"/>
      <c r="G78" s="750"/>
      <c r="H78" s="750"/>
      <c r="I78" s="750"/>
      <c r="J78" s="750"/>
      <c r="K78" s="750"/>
      <c r="M78" s="750"/>
    </row>
    <row r="79" spans="1:13">
      <c r="A79" s="750"/>
      <c r="B79" s="750"/>
      <c r="C79" s="750"/>
      <c r="D79" s="750"/>
      <c r="E79" s="750"/>
      <c r="F79" s="750"/>
      <c r="G79" s="750"/>
      <c r="H79" s="750"/>
      <c r="I79" s="750"/>
      <c r="J79" s="750"/>
      <c r="K79" s="750"/>
      <c r="M79" s="750"/>
    </row>
    <row r="80" spans="1:13">
      <c r="A80" s="750"/>
      <c r="B80" s="750"/>
      <c r="C80" s="750"/>
      <c r="D80" s="750"/>
      <c r="E80" s="750"/>
      <c r="F80" s="750"/>
      <c r="G80" s="750"/>
      <c r="H80" s="750"/>
      <c r="I80" s="750"/>
      <c r="J80" s="750"/>
      <c r="K80" s="750"/>
      <c r="M80" s="750"/>
    </row>
    <row r="81" spans="1:13">
      <c r="A81" s="750"/>
      <c r="B81" s="750"/>
      <c r="C81" s="750"/>
      <c r="D81" s="750"/>
      <c r="E81" s="750"/>
      <c r="F81" s="750"/>
      <c r="G81" s="750"/>
      <c r="H81" s="750"/>
      <c r="I81" s="750"/>
      <c r="J81" s="750"/>
      <c r="K81" s="750"/>
      <c r="M81" s="750"/>
    </row>
    <row r="82" spans="1:13">
      <c r="A82" s="750"/>
      <c r="B82" s="750"/>
      <c r="C82" s="750"/>
      <c r="D82" s="750"/>
      <c r="E82" s="750"/>
      <c r="F82" s="750"/>
      <c r="G82" s="750"/>
      <c r="H82" s="750"/>
      <c r="I82" s="750"/>
      <c r="J82" s="750"/>
      <c r="K82" s="750"/>
      <c r="M82" s="750"/>
    </row>
    <row r="83" spans="1:13">
      <c r="A83" s="750"/>
      <c r="B83" s="750"/>
      <c r="C83" s="750"/>
      <c r="D83" s="750"/>
      <c r="E83" s="750"/>
      <c r="F83" s="750"/>
      <c r="G83" s="750"/>
      <c r="H83" s="750"/>
      <c r="I83" s="750"/>
      <c r="J83" s="750"/>
      <c r="K83" s="750"/>
      <c r="M83" s="750"/>
    </row>
    <row r="84" spans="1:13">
      <c r="A84" s="750"/>
      <c r="B84" s="750"/>
      <c r="C84" s="750"/>
      <c r="D84" s="750"/>
      <c r="E84" s="750"/>
      <c r="F84" s="750"/>
      <c r="G84" s="750"/>
      <c r="H84" s="750"/>
      <c r="I84" s="750"/>
      <c r="J84" s="750"/>
      <c r="K84" s="750"/>
      <c r="M84" s="750"/>
    </row>
    <row r="85" spans="1:13">
      <c r="A85" s="750"/>
      <c r="B85" s="750"/>
      <c r="C85" s="750"/>
      <c r="D85" s="750"/>
      <c r="E85" s="750"/>
      <c r="F85" s="750"/>
      <c r="G85" s="750"/>
      <c r="H85" s="750"/>
      <c r="I85" s="750"/>
      <c r="J85" s="750"/>
      <c r="K85" s="750"/>
      <c r="M85" s="750"/>
    </row>
    <row r="86" spans="1:13">
      <c r="A86" s="750"/>
      <c r="B86" s="750"/>
      <c r="C86" s="750"/>
      <c r="D86" s="750"/>
      <c r="E86" s="750"/>
      <c r="F86" s="750"/>
      <c r="G86" s="750"/>
      <c r="H86" s="750"/>
      <c r="I86" s="750"/>
      <c r="J86" s="750"/>
      <c r="K86" s="750"/>
      <c r="M86" s="750"/>
    </row>
    <row r="87" spans="1:13">
      <c r="A87" s="750"/>
      <c r="B87" s="750"/>
      <c r="C87" s="750"/>
      <c r="D87" s="750"/>
      <c r="E87" s="750"/>
      <c r="F87" s="750"/>
      <c r="G87" s="750"/>
      <c r="H87" s="750"/>
      <c r="I87" s="750"/>
      <c r="J87" s="750"/>
      <c r="K87" s="750"/>
      <c r="M87" s="750"/>
    </row>
    <row r="88" spans="1:13">
      <c r="A88" s="750"/>
      <c r="B88" s="750"/>
      <c r="C88" s="750"/>
      <c r="D88" s="750"/>
      <c r="E88" s="750"/>
      <c r="F88" s="750"/>
      <c r="G88" s="750"/>
      <c r="H88" s="750"/>
      <c r="I88" s="750"/>
      <c r="J88" s="750"/>
      <c r="K88" s="750"/>
      <c r="M88" s="750"/>
    </row>
    <row r="89" spans="1:13">
      <c r="A89" s="750"/>
      <c r="B89" s="750"/>
      <c r="C89" s="750"/>
      <c r="D89" s="750"/>
      <c r="E89" s="750"/>
      <c r="F89" s="750"/>
      <c r="G89" s="750"/>
      <c r="H89" s="750"/>
      <c r="I89" s="750"/>
      <c r="J89" s="750"/>
      <c r="K89" s="750"/>
      <c r="M89" s="750"/>
    </row>
    <row r="90" spans="1:13">
      <c r="A90" s="750"/>
      <c r="B90" s="750"/>
      <c r="C90" s="750"/>
      <c r="D90" s="750"/>
      <c r="E90" s="750"/>
      <c r="F90" s="750"/>
      <c r="G90" s="750"/>
      <c r="H90" s="750"/>
      <c r="I90" s="750"/>
      <c r="J90" s="750"/>
      <c r="K90" s="750"/>
      <c r="M90" s="750"/>
    </row>
    <row r="91" spans="1:13">
      <c r="A91" s="750"/>
      <c r="B91" s="750"/>
      <c r="C91" s="750"/>
      <c r="D91" s="750"/>
      <c r="E91" s="750"/>
      <c r="F91" s="750"/>
      <c r="G91" s="750"/>
      <c r="H91" s="750"/>
      <c r="I91" s="750"/>
      <c r="J91" s="750"/>
      <c r="K91" s="750"/>
      <c r="M91" s="750"/>
    </row>
    <row r="92" spans="1:13">
      <c r="A92" s="750"/>
      <c r="B92" s="750"/>
      <c r="C92" s="750"/>
      <c r="D92" s="750"/>
      <c r="E92" s="750"/>
      <c r="F92" s="750"/>
      <c r="G92" s="750"/>
      <c r="H92" s="750"/>
      <c r="I92" s="750"/>
      <c r="J92" s="750"/>
      <c r="K92" s="750"/>
      <c r="M92" s="750"/>
    </row>
    <row r="93" spans="1:13">
      <c r="A93" s="750"/>
      <c r="B93" s="750"/>
      <c r="C93" s="750"/>
      <c r="D93" s="750"/>
      <c r="E93" s="750"/>
      <c r="F93" s="750"/>
      <c r="G93" s="750"/>
      <c r="H93" s="750"/>
      <c r="I93" s="750"/>
      <c r="J93" s="750"/>
      <c r="K93" s="750"/>
      <c r="M93" s="750"/>
    </row>
    <row r="94" spans="1:13">
      <c r="A94" s="750"/>
      <c r="B94" s="750"/>
      <c r="C94" s="750"/>
      <c r="D94" s="750"/>
      <c r="E94" s="750"/>
      <c r="F94" s="750"/>
      <c r="G94" s="750"/>
      <c r="H94" s="750"/>
      <c r="I94" s="750"/>
      <c r="J94" s="750"/>
      <c r="K94" s="750"/>
      <c r="M94" s="750"/>
    </row>
    <row r="95" spans="1:13">
      <c r="A95" s="750"/>
      <c r="B95" s="750"/>
      <c r="C95" s="750"/>
      <c r="D95" s="750"/>
      <c r="E95" s="750"/>
      <c r="F95" s="750"/>
      <c r="G95" s="750"/>
      <c r="H95" s="750"/>
      <c r="I95" s="750"/>
      <c r="J95" s="750"/>
      <c r="K95" s="750"/>
      <c r="M95" s="750"/>
    </row>
    <row r="96" spans="1:13">
      <c r="A96" s="750"/>
      <c r="B96" s="750"/>
      <c r="C96" s="750"/>
      <c r="D96" s="750"/>
      <c r="E96" s="750"/>
      <c r="F96" s="750"/>
      <c r="G96" s="750"/>
      <c r="H96" s="750"/>
      <c r="I96" s="750"/>
      <c r="J96" s="750"/>
      <c r="K96" s="750"/>
      <c r="M96" s="750"/>
    </row>
    <row r="97" spans="1:13">
      <c r="A97" s="750"/>
      <c r="B97" s="750"/>
      <c r="C97" s="750"/>
      <c r="D97" s="750"/>
      <c r="E97" s="750"/>
      <c r="F97" s="750"/>
      <c r="G97" s="750"/>
      <c r="H97" s="750"/>
      <c r="I97" s="750"/>
      <c r="J97" s="750"/>
      <c r="K97" s="750"/>
      <c r="M97" s="750"/>
    </row>
    <row r="98" spans="1:13">
      <c r="A98" s="750"/>
      <c r="B98" s="750"/>
      <c r="C98" s="750"/>
      <c r="D98" s="750"/>
      <c r="E98" s="750"/>
      <c r="F98" s="750"/>
      <c r="G98" s="750"/>
      <c r="H98" s="750"/>
      <c r="I98" s="750"/>
      <c r="J98" s="750"/>
      <c r="K98" s="750"/>
      <c r="M98" s="750"/>
    </row>
    <row r="99" spans="1:13">
      <c r="A99" s="750"/>
      <c r="B99" s="750"/>
      <c r="C99" s="750"/>
      <c r="D99" s="750"/>
      <c r="E99" s="750"/>
      <c r="F99" s="750"/>
      <c r="G99" s="750"/>
      <c r="H99" s="750"/>
      <c r="I99" s="750"/>
      <c r="J99" s="750"/>
      <c r="K99" s="750"/>
      <c r="M99" s="750"/>
    </row>
    <row r="100" spans="1:13">
      <c r="A100" s="750"/>
      <c r="B100" s="750"/>
      <c r="C100" s="750"/>
      <c r="D100" s="750"/>
      <c r="E100" s="750"/>
      <c r="F100" s="750"/>
      <c r="G100" s="750"/>
      <c r="H100" s="750"/>
      <c r="I100" s="750"/>
      <c r="J100" s="750"/>
      <c r="K100" s="750"/>
      <c r="M100" s="750"/>
    </row>
    <row r="101" spans="1:13">
      <c r="A101" s="750"/>
      <c r="B101" s="750"/>
      <c r="C101" s="750"/>
      <c r="D101" s="750"/>
      <c r="E101" s="750"/>
      <c r="F101" s="750"/>
      <c r="G101" s="750"/>
      <c r="H101" s="750"/>
      <c r="I101" s="750"/>
      <c r="J101" s="750"/>
      <c r="K101" s="750"/>
      <c r="M101" s="750"/>
    </row>
    <row r="102" spans="1:13">
      <c r="A102" s="750"/>
      <c r="B102" s="750"/>
      <c r="C102" s="750"/>
      <c r="D102" s="750"/>
      <c r="E102" s="750"/>
      <c r="F102" s="750"/>
      <c r="G102" s="750"/>
      <c r="H102" s="750"/>
      <c r="I102" s="750"/>
      <c r="J102" s="750"/>
      <c r="K102" s="750"/>
      <c r="M102" s="750"/>
    </row>
    <row r="103" spans="1:13">
      <c r="A103" s="750"/>
      <c r="B103" s="750"/>
      <c r="C103" s="750"/>
      <c r="D103" s="750"/>
      <c r="E103" s="750"/>
      <c r="F103" s="750"/>
      <c r="G103" s="750"/>
      <c r="H103" s="750"/>
      <c r="I103" s="750"/>
      <c r="J103" s="750"/>
      <c r="K103" s="750"/>
      <c r="M103" s="750"/>
    </row>
    <row r="104" spans="1:13">
      <c r="A104" s="750"/>
      <c r="B104" s="750"/>
      <c r="C104" s="750"/>
      <c r="D104" s="750"/>
      <c r="E104" s="750"/>
      <c r="F104" s="750"/>
      <c r="G104" s="750"/>
      <c r="H104" s="750"/>
      <c r="I104" s="750"/>
      <c r="J104" s="750"/>
      <c r="K104" s="750"/>
      <c r="M104" s="750"/>
    </row>
    <row r="105" spans="1:13">
      <c r="A105" s="750"/>
      <c r="B105" s="750"/>
      <c r="C105" s="750"/>
      <c r="D105" s="750"/>
      <c r="E105" s="750"/>
      <c r="F105" s="750"/>
      <c r="G105" s="750"/>
      <c r="H105" s="750"/>
      <c r="I105" s="750"/>
      <c r="J105" s="750"/>
      <c r="K105" s="750"/>
      <c r="M105" s="750"/>
    </row>
    <row r="106" spans="1:13">
      <c r="A106" s="750"/>
      <c r="B106" s="750"/>
      <c r="C106" s="750"/>
      <c r="D106" s="750"/>
      <c r="E106" s="750"/>
      <c r="F106" s="750"/>
      <c r="G106" s="750"/>
      <c r="H106" s="750"/>
      <c r="I106" s="750"/>
      <c r="J106" s="750"/>
      <c r="K106" s="750"/>
      <c r="M106" s="750"/>
    </row>
    <row r="107" spans="1:13">
      <c r="A107" s="750"/>
      <c r="B107" s="750"/>
      <c r="C107" s="750"/>
      <c r="D107" s="750"/>
      <c r="E107" s="750"/>
      <c r="F107" s="750"/>
      <c r="G107" s="750"/>
      <c r="H107" s="750"/>
      <c r="I107" s="750"/>
      <c r="J107" s="750"/>
      <c r="K107" s="750"/>
      <c r="M107" s="750"/>
    </row>
    <row r="108" spans="1:13">
      <c r="A108" s="750"/>
      <c r="B108" s="750"/>
      <c r="C108" s="750"/>
      <c r="D108" s="750"/>
      <c r="E108" s="750"/>
      <c r="F108" s="750"/>
      <c r="G108" s="750"/>
      <c r="H108" s="750"/>
      <c r="I108" s="750"/>
      <c r="J108" s="750"/>
      <c r="K108" s="750"/>
      <c r="M108" s="750"/>
    </row>
    <row r="109" spans="1:13">
      <c r="A109" s="750"/>
      <c r="B109" s="750"/>
      <c r="C109" s="750"/>
      <c r="D109" s="750"/>
      <c r="E109" s="750"/>
      <c r="F109" s="750"/>
      <c r="G109" s="750"/>
      <c r="H109" s="750"/>
      <c r="I109" s="750"/>
      <c r="J109" s="750"/>
      <c r="K109" s="750"/>
      <c r="M109" s="750"/>
    </row>
    <row r="110" spans="1:13">
      <c r="A110" s="750"/>
      <c r="B110" s="750"/>
      <c r="C110" s="750"/>
      <c r="D110" s="750"/>
      <c r="E110" s="750"/>
      <c r="F110" s="750"/>
      <c r="G110" s="750"/>
      <c r="H110" s="750"/>
      <c r="I110" s="750"/>
      <c r="J110" s="750"/>
      <c r="K110" s="750"/>
      <c r="M110" s="750"/>
    </row>
    <row r="111" spans="1:13">
      <c r="A111" s="750"/>
      <c r="B111" s="750"/>
      <c r="C111" s="750"/>
      <c r="D111" s="750"/>
      <c r="E111" s="750"/>
      <c r="F111" s="750"/>
      <c r="G111" s="750"/>
      <c r="H111" s="750"/>
      <c r="I111" s="750"/>
      <c r="J111" s="750"/>
      <c r="K111" s="750"/>
      <c r="M111" s="750"/>
    </row>
    <row r="112" spans="1:13">
      <c r="A112" s="750"/>
      <c r="B112" s="750"/>
      <c r="C112" s="750"/>
      <c r="D112" s="750"/>
      <c r="E112" s="750"/>
      <c r="F112" s="750"/>
      <c r="G112" s="750"/>
      <c r="H112" s="750"/>
      <c r="I112" s="750"/>
      <c r="J112" s="750"/>
      <c r="K112" s="750"/>
      <c r="M112" s="750"/>
    </row>
    <row r="113" spans="1:13">
      <c r="A113" s="750"/>
      <c r="B113" s="750"/>
      <c r="C113" s="750"/>
      <c r="D113" s="750"/>
      <c r="E113" s="750"/>
      <c r="F113" s="750"/>
      <c r="G113" s="750"/>
      <c r="H113" s="750"/>
      <c r="I113" s="750"/>
      <c r="J113" s="750"/>
      <c r="K113" s="750"/>
      <c r="M113" s="750"/>
    </row>
    <row r="114" spans="1:13">
      <c r="A114" s="750"/>
      <c r="B114" s="750"/>
      <c r="C114" s="750"/>
      <c r="D114" s="750"/>
      <c r="E114" s="750"/>
      <c r="F114" s="750"/>
      <c r="G114" s="750"/>
      <c r="H114" s="750"/>
      <c r="I114" s="750"/>
      <c r="J114" s="750"/>
      <c r="K114" s="750"/>
      <c r="M114" s="750"/>
    </row>
    <row r="115" spans="1:13">
      <c r="A115" s="750"/>
      <c r="B115" s="750"/>
      <c r="C115" s="750"/>
      <c r="D115" s="750"/>
      <c r="E115" s="750"/>
      <c r="F115" s="750"/>
      <c r="G115" s="750"/>
      <c r="H115" s="750"/>
      <c r="I115" s="750"/>
      <c r="J115" s="750"/>
      <c r="K115" s="750"/>
      <c r="M115" s="750"/>
    </row>
    <row r="116" spans="1:13">
      <c r="A116" s="750"/>
      <c r="B116" s="750"/>
      <c r="C116" s="750"/>
      <c r="D116" s="750"/>
      <c r="E116" s="750"/>
      <c r="F116" s="750"/>
      <c r="G116" s="750"/>
      <c r="H116" s="750"/>
      <c r="I116" s="750"/>
      <c r="J116" s="750"/>
      <c r="K116" s="750"/>
      <c r="M116" s="750"/>
    </row>
    <row r="117" spans="1:13">
      <c r="A117" s="750"/>
      <c r="B117" s="750"/>
      <c r="C117" s="750"/>
      <c r="D117" s="750"/>
      <c r="E117" s="750"/>
      <c r="F117" s="750"/>
      <c r="G117" s="750"/>
      <c r="H117" s="750"/>
      <c r="I117" s="750"/>
      <c r="J117" s="750"/>
      <c r="K117" s="750"/>
      <c r="M117" s="750"/>
    </row>
    <row r="118" spans="1:13">
      <c r="A118" s="750"/>
      <c r="B118" s="750"/>
      <c r="C118" s="750"/>
      <c r="D118" s="750"/>
      <c r="E118" s="750"/>
      <c r="F118" s="750"/>
      <c r="G118" s="750"/>
      <c r="H118" s="750"/>
      <c r="I118" s="750"/>
      <c r="J118" s="750"/>
      <c r="K118" s="750"/>
      <c r="M118" s="750"/>
    </row>
    <row r="119" spans="1:13">
      <c r="A119" s="750"/>
      <c r="B119" s="750"/>
      <c r="C119" s="750"/>
      <c r="D119" s="750"/>
      <c r="E119" s="750"/>
      <c r="F119" s="750"/>
      <c r="G119" s="750"/>
      <c r="H119" s="750"/>
      <c r="I119" s="750"/>
      <c r="J119" s="750"/>
      <c r="K119" s="750"/>
      <c r="M119" s="750"/>
    </row>
    <row r="120" spans="1:13">
      <c r="A120" s="750"/>
      <c r="B120" s="750"/>
      <c r="C120" s="750"/>
      <c r="D120" s="750"/>
      <c r="E120" s="750"/>
      <c r="F120" s="750"/>
      <c r="G120" s="750"/>
      <c r="H120" s="750"/>
      <c r="I120" s="750"/>
      <c r="J120" s="750"/>
      <c r="K120" s="750"/>
      <c r="M120" s="750"/>
    </row>
    <row r="121" spans="1:13">
      <c r="A121" s="750"/>
      <c r="B121" s="750"/>
      <c r="C121" s="750"/>
      <c r="D121" s="750"/>
      <c r="E121" s="750"/>
      <c r="F121" s="750"/>
      <c r="G121" s="750"/>
      <c r="H121" s="750"/>
      <c r="I121" s="750"/>
      <c r="J121" s="750"/>
      <c r="K121" s="750"/>
      <c r="M121" s="750"/>
    </row>
    <row r="122" spans="1:13">
      <c r="A122" s="750"/>
      <c r="B122" s="750"/>
      <c r="C122" s="750"/>
      <c r="D122" s="750"/>
      <c r="E122" s="750"/>
      <c r="F122" s="750"/>
      <c r="G122" s="750"/>
      <c r="H122" s="750"/>
      <c r="I122" s="750"/>
      <c r="J122" s="750"/>
      <c r="K122" s="750"/>
      <c r="M122" s="750"/>
    </row>
    <row r="123" spans="1:13">
      <c r="A123" s="750"/>
      <c r="B123" s="750"/>
      <c r="C123" s="750"/>
      <c r="D123" s="750"/>
      <c r="E123" s="750"/>
      <c r="F123" s="750"/>
      <c r="G123" s="750"/>
      <c r="H123" s="750"/>
      <c r="I123" s="750"/>
      <c r="J123" s="750"/>
      <c r="K123" s="750"/>
      <c r="M123" s="750"/>
    </row>
    <row r="124" spans="1:13">
      <c r="A124" s="750"/>
      <c r="B124" s="750"/>
      <c r="C124" s="750"/>
      <c r="D124" s="750"/>
      <c r="E124" s="750"/>
      <c r="F124" s="750"/>
      <c r="G124" s="750"/>
      <c r="H124" s="750"/>
      <c r="I124" s="750"/>
      <c r="J124" s="750"/>
      <c r="K124" s="750"/>
      <c r="M124" s="750"/>
    </row>
    <row r="125" spans="1:13">
      <c r="A125" s="750"/>
      <c r="B125" s="750"/>
      <c r="C125" s="750"/>
      <c r="D125" s="750"/>
      <c r="E125" s="750"/>
      <c r="F125" s="750"/>
      <c r="G125" s="750"/>
      <c r="H125" s="750"/>
      <c r="I125" s="750"/>
      <c r="J125" s="750"/>
      <c r="K125" s="750"/>
      <c r="M125" s="750"/>
    </row>
    <row r="126" spans="1:13">
      <c r="A126" s="750"/>
      <c r="B126" s="750"/>
      <c r="C126" s="750"/>
      <c r="D126" s="750"/>
      <c r="E126" s="750"/>
      <c r="F126" s="750"/>
      <c r="G126" s="750"/>
      <c r="H126" s="750"/>
      <c r="I126" s="750"/>
      <c r="J126" s="750"/>
      <c r="K126" s="750"/>
      <c r="M126" s="750"/>
    </row>
    <row r="127" spans="1:13">
      <c r="A127" s="750"/>
      <c r="B127" s="750"/>
      <c r="C127" s="750"/>
      <c r="D127" s="750"/>
      <c r="E127" s="750"/>
      <c r="F127" s="750"/>
      <c r="G127" s="750"/>
      <c r="H127" s="750"/>
      <c r="I127" s="750"/>
      <c r="J127" s="750"/>
      <c r="K127" s="750"/>
      <c r="M127" s="750"/>
    </row>
    <row r="128" spans="1:13">
      <c r="A128" s="750"/>
      <c r="B128" s="750"/>
      <c r="C128" s="750"/>
      <c r="D128" s="750"/>
      <c r="E128" s="750"/>
      <c r="F128" s="750"/>
      <c r="G128" s="750"/>
      <c r="H128" s="750"/>
      <c r="I128" s="750"/>
      <c r="J128" s="750"/>
      <c r="K128" s="750"/>
      <c r="M128" s="750"/>
    </row>
    <row r="129" spans="1:13">
      <c r="A129" s="750"/>
      <c r="B129" s="750"/>
      <c r="C129" s="750"/>
      <c r="D129" s="750"/>
      <c r="E129" s="750"/>
      <c r="F129" s="750"/>
      <c r="G129" s="750"/>
      <c r="H129" s="750"/>
      <c r="I129" s="750"/>
      <c r="J129" s="750"/>
      <c r="K129" s="750"/>
      <c r="M129" s="750"/>
    </row>
    <row r="130" spans="1:13">
      <c r="A130" s="750"/>
      <c r="B130" s="750"/>
      <c r="C130" s="750"/>
      <c r="D130" s="750"/>
      <c r="E130" s="750"/>
      <c r="F130" s="750"/>
      <c r="G130" s="750"/>
      <c r="H130" s="750"/>
      <c r="I130" s="750"/>
      <c r="J130" s="750"/>
      <c r="K130" s="750"/>
      <c r="M130" s="750"/>
    </row>
    <row r="131" spans="1:13">
      <c r="A131" s="750"/>
      <c r="B131" s="750"/>
      <c r="C131" s="750"/>
      <c r="D131" s="750"/>
      <c r="E131" s="750"/>
      <c r="F131" s="750"/>
      <c r="G131" s="750"/>
      <c r="H131" s="750"/>
      <c r="I131" s="750"/>
      <c r="J131" s="750"/>
      <c r="K131" s="750"/>
      <c r="M131" s="750"/>
    </row>
    <row r="132" spans="1:13">
      <c r="A132" s="750"/>
      <c r="B132" s="750"/>
      <c r="C132" s="750"/>
      <c r="D132" s="750"/>
      <c r="E132" s="750"/>
      <c r="F132" s="750"/>
      <c r="G132" s="750"/>
      <c r="H132" s="750"/>
      <c r="I132" s="750"/>
      <c r="J132" s="750"/>
      <c r="K132" s="750"/>
      <c r="M132" s="750"/>
    </row>
    <row r="133" spans="1:13">
      <c r="A133" s="750"/>
      <c r="B133" s="750"/>
      <c r="C133" s="750"/>
      <c r="D133" s="750"/>
      <c r="E133" s="750"/>
      <c r="F133" s="750"/>
      <c r="G133" s="750"/>
      <c r="H133" s="750"/>
      <c r="I133" s="750"/>
      <c r="J133" s="750"/>
      <c r="K133" s="750"/>
      <c r="M133" s="750"/>
    </row>
    <row r="134" spans="1:13">
      <c r="A134" s="750"/>
      <c r="B134" s="750"/>
      <c r="C134" s="750"/>
      <c r="D134" s="750"/>
      <c r="E134" s="750"/>
      <c r="F134" s="750"/>
      <c r="G134" s="750"/>
      <c r="H134" s="750"/>
      <c r="I134" s="750"/>
      <c r="J134" s="750"/>
      <c r="K134" s="750"/>
      <c r="M134" s="750"/>
    </row>
    <row r="135" spans="1:13">
      <c r="A135" s="750"/>
      <c r="B135" s="750"/>
      <c r="C135" s="750"/>
      <c r="D135" s="750"/>
      <c r="E135" s="750"/>
      <c r="F135" s="750"/>
      <c r="G135" s="750"/>
      <c r="H135" s="750"/>
      <c r="I135" s="750"/>
      <c r="J135" s="750"/>
      <c r="K135" s="750"/>
      <c r="M135" s="750"/>
    </row>
    <row r="136" spans="1:13">
      <c r="A136" s="750"/>
      <c r="B136" s="750"/>
      <c r="C136" s="750"/>
      <c r="D136" s="750"/>
      <c r="E136" s="750"/>
      <c r="F136" s="750"/>
      <c r="G136" s="750"/>
      <c r="H136" s="750"/>
      <c r="I136" s="750"/>
      <c r="J136" s="750"/>
      <c r="K136" s="750"/>
      <c r="M136" s="750"/>
    </row>
    <row r="137" spans="1:13">
      <c r="A137" s="750"/>
      <c r="B137" s="750"/>
      <c r="C137" s="750"/>
      <c r="D137" s="750"/>
      <c r="E137" s="750"/>
      <c r="F137" s="750"/>
      <c r="G137" s="750"/>
      <c r="H137" s="750"/>
      <c r="I137" s="750"/>
      <c r="J137" s="750"/>
      <c r="K137" s="750"/>
      <c r="M137" s="750"/>
    </row>
    <row r="138" spans="1:13">
      <c r="A138" s="750"/>
      <c r="B138" s="750"/>
      <c r="C138" s="750"/>
      <c r="D138" s="750"/>
      <c r="E138" s="750"/>
      <c r="F138" s="750"/>
      <c r="G138" s="750"/>
      <c r="H138" s="750"/>
      <c r="I138" s="750"/>
      <c r="J138" s="750"/>
      <c r="K138" s="750"/>
      <c r="M138" s="750"/>
    </row>
    <row r="139" spans="1:13">
      <c r="A139" s="750"/>
      <c r="B139" s="750"/>
      <c r="C139" s="750"/>
      <c r="D139" s="750"/>
      <c r="E139" s="750"/>
      <c r="F139" s="750"/>
      <c r="G139" s="750"/>
      <c r="H139" s="750"/>
      <c r="I139" s="750"/>
      <c r="J139" s="750"/>
      <c r="K139" s="750"/>
      <c r="M139" s="750"/>
    </row>
    <row r="140" spans="1:13">
      <c r="A140" s="750"/>
      <c r="B140" s="750"/>
      <c r="C140" s="750"/>
      <c r="D140" s="750"/>
      <c r="E140" s="750"/>
      <c r="F140" s="750"/>
      <c r="G140" s="750"/>
      <c r="H140" s="750"/>
      <c r="I140" s="750"/>
      <c r="J140" s="750"/>
      <c r="K140" s="750"/>
      <c r="M140" s="750"/>
    </row>
    <row r="141" spans="1:13">
      <c r="A141" s="750"/>
      <c r="B141" s="750"/>
      <c r="C141" s="750"/>
      <c r="D141" s="750"/>
      <c r="E141" s="750"/>
      <c r="F141" s="750"/>
      <c r="G141" s="750"/>
      <c r="H141" s="750"/>
      <c r="I141" s="750"/>
      <c r="J141" s="750"/>
      <c r="K141" s="750"/>
      <c r="M141" s="750"/>
    </row>
    <row r="142" spans="1:13">
      <c r="A142" s="750"/>
      <c r="B142" s="750"/>
      <c r="C142" s="750"/>
      <c r="D142" s="750"/>
      <c r="E142" s="750"/>
      <c r="F142" s="750"/>
      <c r="G142" s="750"/>
      <c r="H142" s="750"/>
      <c r="I142" s="750"/>
      <c r="J142" s="750"/>
      <c r="K142" s="750"/>
      <c r="M142" s="750"/>
    </row>
    <row r="143" spans="1:13">
      <c r="A143" s="750"/>
      <c r="B143" s="750"/>
      <c r="C143" s="750"/>
      <c r="D143" s="750"/>
      <c r="E143" s="750"/>
      <c r="F143" s="750"/>
      <c r="G143" s="750"/>
      <c r="H143" s="750"/>
      <c r="I143" s="750"/>
      <c r="J143" s="750"/>
      <c r="K143" s="750"/>
      <c r="M143" s="750"/>
    </row>
    <row r="144" spans="1:13">
      <c r="A144" s="750"/>
      <c r="B144" s="750"/>
      <c r="C144" s="750"/>
      <c r="D144" s="750"/>
      <c r="E144" s="750"/>
      <c r="F144" s="750"/>
      <c r="G144" s="750"/>
      <c r="H144" s="750"/>
      <c r="I144" s="750"/>
      <c r="J144" s="750"/>
      <c r="K144" s="750"/>
      <c r="M144" s="750"/>
    </row>
    <row r="145" spans="1:13">
      <c r="A145" s="750"/>
      <c r="B145" s="750"/>
      <c r="C145" s="750"/>
      <c r="D145" s="750"/>
      <c r="E145" s="750"/>
      <c r="F145" s="750"/>
      <c r="G145" s="750"/>
      <c r="H145" s="750"/>
      <c r="I145" s="750"/>
      <c r="J145" s="750"/>
      <c r="K145" s="750"/>
      <c r="M145" s="750"/>
    </row>
    <row r="146" spans="1:13">
      <c r="A146" s="750"/>
      <c r="B146" s="750"/>
      <c r="C146" s="750"/>
      <c r="D146" s="750"/>
      <c r="E146" s="750"/>
      <c r="F146" s="750"/>
      <c r="G146" s="750"/>
      <c r="H146" s="750"/>
      <c r="I146" s="750"/>
      <c r="J146" s="750"/>
      <c r="K146" s="750"/>
      <c r="M146" s="750"/>
    </row>
    <row r="147" spans="1:13">
      <c r="A147" s="750"/>
      <c r="B147" s="750"/>
      <c r="C147" s="750"/>
      <c r="D147" s="750"/>
      <c r="E147" s="750"/>
      <c r="F147" s="750"/>
      <c r="G147" s="750"/>
      <c r="H147" s="750"/>
      <c r="I147" s="750"/>
      <c r="J147" s="750"/>
      <c r="K147" s="750"/>
      <c r="M147" s="750"/>
    </row>
    <row r="148" spans="1:13">
      <c r="A148" s="750"/>
      <c r="B148" s="750"/>
      <c r="C148" s="750"/>
      <c r="D148" s="750"/>
      <c r="E148" s="750"/>
      <c r="F148" s="750"/>
      <c r="G148" s="750"/>
      <c r="H148" s="750"/>
      <c r="I148" s="750"/>
      <c r="J148" s="750"/>
      <c r="K148" s="750"/>
      <c r="M148" s="750"/>
    </row>
    <row r="149" spans="1:13">
      <c r="A149" s="750"/>
      <c r="B149" s="750"/>
      <c r="C149" s="750"/>
      <c r="D149" s="750"/>
      <c r="E149" s="750"/>
      <c r="F149" s="750"/>
      <c r="G149" s="750"/>
      <c r="H149" s="750"/>
      <c r="I149" s="750"/>
      <c r="J149" s="750"/>
      <c r="K149" s="750"/>
      <c r="M149" s="750"/>
    </row>
    <row r="150" spans="1:13">
      <c r="A150" s="750"/>
      <c r="B150" s="750"/>
      <c r="C150" s="750"/>
      <c r="D150" s="750"/>
      <c r="E150" s="750"/>
      <c r="F150" s="750"/>
      <c r="G150" s="750"/>
      <c r="H150" s="750"/>
      <c r="I150" s="750"/>
      <c r="J150" s="750"/>
      <c r="K150" s="750"/>
      <c r="M150" s="750"/>
    </row>
    <row r="151" spans="1:13">
      <c r="A151" s="750"/>
      <c r="B151" s="750"/>
      <c r="C151" s="750"/>
      <c r="D151" s="750"/>
      <c r="E151" s="750"/>
      <c r="F151" s="750"/>
      <c r="G151" s="750"/>
      <c r="H151" s="750"/>
      <c r="I151" s="750"/>
      <c r="J151" s="750"/>
      <c r="K151" s="750"/>
      <c r="M151" s="750"/>
    </row>
    <row r="152" spans="1:13">
      <c r="A152" s="750"/>
      <c r="B152" s="750"/>
      <c r="C152" s="750"/>
      <c r="D152" s="750"/>
      <c r="E152" s="750"/>
      <c r="F152" s="750"/>
      <c r="G152" s="750"/>
      <c r="H152" s="750"/>
      <c r="I152" s="750"/>
      <c r="J152" s="750"/>
      <c r="K152" s="750"/>
      <c r="M152" s="750"/>
    </row>
    <row r="153" spans="1:13">
      <c r="A153" s="750"/>
      <c r="B153" s="750"/>
      <c r="C153" s="750"/>
      <c r="D153" s="750"/>
      <c r="E153" s="750"/>
      <c r="F153" s="750"/>
      <c r="G153" s="750"/>
      <c r="H153" s="750"/>
      <c r="I153" s="750"/>
      <c r="J153" s="750"/>
      <c r="K153" s="750"/>
      <c r="M153" s="750"/>
    </row>
    <row r="154" spans="1:13">
      <c r="A154" s="750"/>
      <c r="B154" s="750"/>
      <c r="C154" s="750"/>
      <c r="D154" s="750"/>
      <c r="E154" s="750"/>
      <c r="F154" s="750"/>
      <c r="G154" s="750"/>
      <c r="H154" s="750"/>
      <c r="I154" s="750"/>
      <c r="J154" s="750"/>
      <c r="K154" s="750"/>
      <c r="M154" s="750"/>
    </row>
    <row r="155" spans="1:13">
      <c r="A155" s="750"/>
      <c r="B155" s="750"/>
      <c r="C155" s="750"/>
      <c r="D155" s="750"/>
      <c r="E155" s="750"/>
      <c r="F155" s="750"/>
      <c r="G155" s="750"/>
      <c r="H155" s="750"/>
      <c r="I155" s="750"/>
      <c r="J155" s="750"/>
      <c r="K155" s="750"/>
      <c r="M155" s="750"/>
    </row>
    <row r="156" spans="1:13">
      <c r="A156" s="750"/>
      <c r="B156" s="750"/>
      <c r="C156" s="750"/>
      <c r="D156" s="750"/>
      <c r="E156" s="750"/>
      <c r="F156" s="750"/>
      <c r="G156" s="750"/>
      <c r="H156" s="750"/>
      <c r="I156" s="750"/>
      <c r="J156" s="750"/>
      <c r="K156" s="750"/>
      <c r="M156" s="750"/>
    </row>
    <row r="157" spans="1:13">
      <c r="A157" s="750"/>
      <c r="B157" s="750"/>
      <c r="C157" s="750"/>
      <c r="D157" s="750"/>
      <c r="E157" s="750"/>
      <c r="F157" s="750"/>
      <c r="G157" s="750"/>
      <c r="H157" s="750"/>
      <c r="I157" s="750"/>
      <c r="J157" s="750"/>
      <c r="K157" s="750"/>
      <c r="M157" s="750"/>
    </row>
    <row r="158" spans="1:13">
      <c r="A158" s="750"/>
      <c r="B158" s="750"/>
      <c r="C158" s="750"/>
      <c r="D158" s="750"/>
      <c r="E158" s="750"/>
      <c r="F158" s="750"/>
      <c r="G158" s="750"/>
      <c r="H158" s="750"/>
      <c r="I158" s="750"/>
      <c r="J158" s="750"/>
      <c r="K158" s="750"/>
      <c r="M158" s="750"/>
    </row>
    <row r="159" spans="1:13">
      <c r="A159" s="750"/>
      <c r="B159" s="750"/>
      <c r="C159" s="750"/>
      <c r="D159" s="750"/>
      <c r="E159" s="750"/>
      <c r="F159" s="750"/>
      <c r="G159" s="750"/>
      <c r="H159" s="750"/>
      <c r="I159" s="750"/>
      <c r="J159" s="750"/>
      <c r="K159" s="750"/>
      <c r="M159" s="750"/>
    </row>
    <row r="160" spans="1:13">
      <c r="A160" s="750"/>
      <c r="B160" s="750"/>
      <c r="C160" s="750"/>
      <c r="D160" s="750"/>
      <c r="E160" s="750"/>
      <c r="F160" s="750"/>
      <c r="G160" s="750"/>
      <c r="H160" s="750"/>
      <c r="I160" s="750"/>
      <c r="J160" s="750"/>
      <c r="K160" s="750"/>
      <c r="M160" s="750"/>
    </row>
    <row r="161" spans="1:13">
      <c r="A161" s="750"/>
      <c r="B161" s="750"/>
      <c r="C161" s="750"/>
      <c r="D161" s="750"/>
      <c r="E161" s="750"/>
      <c r="F161" s="750"/>
      <c r="G161" s="750"/>
      <c r="H161" s="750"/>
      <c r="I161" s="750"/>
      <c r="J161" s="750"/>
      <c r="K161" s="750"/>
      <c r="M161" s="750"/>
    </row>
    <row r="162" spans="1:13">
      <c r="A162" s="750"/>
      <c r="B162" s="750"/>
      <c r="C162" s="750"/>
      <c r="D162" s="750"/>
      <c r="E162" s="750"/>
      <c r="F162" s="750"/>
      <c r="G162" s="750"/>
      <c r="H162" s="750"/>
      <c r="I162" s="750"/>
      <c r="J162" s="750"/>
      <c r="K162" s="750"/>
      <c r="M162" s="750"/>
    </row>
    <row r="163" spans="1:13">
      <c r="A163" s="750"/>
      <c r="B163" s="750"/>
      <c r="C163" s="750"/>
      <c r="D163" s="750"/>
      <c r="E163" s="750"/>
      <c r="F163" s="750"/>
      <c r="G163" s="750"/>
      <c r="H163" s="750"/>
      <c r="I163" s="750"/>
      <c r="J163" s="750"/>
      <c r="K163" s="750"/>
      <c r="M163" s="750"/>
    </row>
    <row r="164" spans="1:13">
      <c r="A164" s="750"/>
      <c r="B164" s="750"/>
      <c r="C164" s="750"/>
      <c r="D164" s="750"/>
      <c r="E164" s="750"/>
      <c r="F164" s="750"/>
      <c r="G164" s="750"/>
      <c r="H164" s="750"/>
      <c r="I164" s="750"/>
      <c r="J164" s="750"/>
      <c r="K164" s="750"/>
      <c r="M164" s="750"/>
    </row>
    <row r="165" spans="1:13">
      <c r="A165" s="750"/>
      <c r="B165" s="750"/>
      <c r="C165" s="750"/>
      <c r="D165" s="750"/>
      <c r="E165" s="750"/>
      <c r="F165" s="750"/>
      <c r="G165" s="750"/>
      <c r="H165" s="750"/>
      <c r="I165" s="750"/>
      <c r="J165" s="750"/>
      <c r="K165" s="750"/>
      <c r="M165" s="750"/>
    </row>
    <row r="166" spans="1:13">
      <c r="A166" s="750"/>
      <c r="B166" s="750"/>
      <c r="C166" s="750"/>
      <c r="D166" s="750"/>
      <c r="E166" s="750"/>
      <c r="F166" s="750"/>
      <c r="G166" s="750"/>
      <c r="H166" s="750"/>
      <c r="I166" s="750"/>
      <c r="J166" s="750"/>
      <c r="K166" s="750"/>
      <c r="M166" s="750"/>
    </row>
    <row r="167" spans="1:13">
      <c r="A167" s="750"/>
      <c r="B167" s="750"/>
      <c r="C167" s="750"/>
      <c r="D167" s="750"/>
      <c r="E167" s="750"/>
      <c r="F167" s="750"/>
      <c r="G167" s="750"/>
      <c r="H167" s="750"/>
      <c r="I167" s="750"/>
      <c r="J167" s="750"/>
      <c r="K167" s="750"/>
      <c r="M167" s="750"/>
    </row>
    <row r="168" spans="1:13">
      <c r="A168" s="750"/>
      <c r="B168" s="750"/>
      <c r="C168" s="750"/>
      <c r="D168" s="750"/>
      <c r="E168" s="750"/>
      <c r="F168" s="750"/>
      <c r="G168" s="750"/>
      <c r="H168" s="750"/>
      <c r="I168" s="750"/>
      <c r="J168" s="750"/>
      <c r="K168" s="750"/>
      <c r="M168" s="750"/>
    </row>
    <row r="169" spans="1:13">
      <c r="A169" s="750"/>
      <c r="B169" s="750"/>
      <c r="C169" s="750"/>
      <c r="D169" s="750"/>
      <c r="E169" s="750"/>
      <c r="F169" s="750"/>
      <c r="G169" s="750"/>
      <c r="H169" s="750"/>
      <c r="I169" s="750"/>
      <c r="J169" s="750"/>
      <c r="K169" s="750"/>
      <c r="M169" s="750"/>
    </row>
    <row r="170" spans="1:13">
      <c r="A170" s="750"/>
      <c r="B170" s="750"/>
      <c r="C170" s="750"/>
      <c r="D170" s="750"/>
      <c r="E170" s="750"/>
      <c r="F170" s="750"/>
      <c r="G170" s="750"/>
      <c r="H170" s="750"/>
      <c r="I170" s="750"/>
      <c r="J170" s="750"/>
      <c r="K170" s="750"/>
      <c r="M170" s="750"/>
    </row>
    <row r="171" spans="1:13">
      <c r="A171" s="750"/>
      <c r="B171" s="750"/>
      <c r="C171" s="750"/>
      <c r="D171" s="750"/>
      <c r="E171" s="750"/>
      <c r="F171" s="750"/>
      <c r="G171" s="750"/>
      <c r="H171" s="750"/>
      <c r="I171" s="750"/>
      <c r="J171" s="750"/>
      <c r="K171" s="750"/>
      <c r="M171" s="750"/>
    </row>
    <row r="172" spans="1:13">
      <c r="A172" s="750"/>
      <c r="B172" s="750"/>
      <c r="C172" s="750"/>
      <c r="D172" s="750"/>
      <c r="E172" s="750"/>
      <c r="F172" s="750"/>
      <c r="G172" s="750"/>
      <c r="H172" s="750"/>
      <c r="I172" s="750"/>
      <c r="J172" s="750"/>
      <c r="K172" s="750"/>
      <c r="M172" s="750"/>
    </row>
    <row r="173" spans="1:13">
      <c r="A173" s="750"/>
      <c r="B173" s="750"/>
      <c r="C173" s="750"/>
      <c r="D173" s="750"/>
      <c r="E173" s="750"/>
      <c r="F173" s="750"/>
      <c r="G173" s="750"/>
      <c r="H173" s="750"/>
      <c r="I173" s="750"/>
      <c r="J173" s="750"/>
      <c r="K173" s="750"/>
      <c r="M173" s="750"/>
    </row>
    <row r="174" spans="1:13">
      <c r="A174" s="750"/>
      <c r="B174" s="750"/>
      <c r="C174" s="750"/>
      <c r="D174" s="750"/>
      <c r="E174" s="750"/>
      <c r="F174" s="750"/>
      <c r="G174" s="750"/>
      <c r="H174" s="750"/>
      <c r="I174" s="750"/>
      <c r="J174" s="750"/>
      <c r="K174" s="750"/>
      <c r="M174" s="750"/>
    </row>
    <row r="175" spans="1:13">
      <c r="A175" s="750"/>
      <c r="B175" s="750"/>
      <c r="C175" s="750"/>
      <c r="D175" s="750"/>
      <c r="E175" s="750"/>
      <c r="F175" s="750"/>
      <c r="G175" s="750"/>
      <c r="H175" s="750"/>
      <c r="I175" s="750"/>
      <c r="J175" s="750"/>
      <c r="K175" s="750"/>
      <c r="M175" s="750"/>
    </row>
    <row r="176" spans="1:13">
      <c r="A176" s="750"/>
      <c r="B176" s="750"/>
      <c r="C176" s="750"/>
      <c r="D176" s="750"/>
      <c r="E176" s="750"/>
      <c r="F176" s="750"/>
      <c r="G176" s="750"/>
      <c r="H176" s="750"/>
      <c r="I176" s="750"/>
      <c r="J176" s="750"/>
      <c r="K176" s="750"/>
      <c r="M176" s="750"/>
    </row>
    <row r="177" spans="1:13">
      <c r="A177" s="750"/>
      <c r="B177" s="750"/>
      <c r="C177" s="750"/>
      <c r="D177" s="750"/>
      <c r="E177" s="750"/>
      <c r="F177" s="750"/>
      <c r="G177" s="750"/>
      <c r="H177" s="750"/>
      <c r="I177" s="750"/>
      <c r="J177" s="750"/>
      <c r="K177" s="750"/>
      <c r="M177" s="750"/>
    </row>
    <row r="178" spans="1:13">
      <c r="A178" s="750"/>
      <c r="B178" s="750"/>
      <c r="C178" s="750"/>
      <c r="D178" s="750"/>
      <c r="E178" s="750"/>
      <c r="F178" s="750"/>
      <c r="G178" s="750"/>
      <c r="H178" s="750"/>
      <c r="I178" s="750"/>
      <c r="J178" s="750"/>
      <c r="K178" s="750"/>
      <c r="M178" s="750"/>
    </row>
    <row r="179" spans="1:13">
      <c r="A179" s="750"/>
      <c r="B179" s="750"/>
      <c r="C179" s="750"/>
      <c r="D179" s="750"/>
      <c r="E179" s="750"/>
      <c r="F179" s="750"/>
      <c r="G179" s="750"/>
      <c r="H179" s="750"/>
      <c r="I179" s="750"/>
      <c r="J179" s="750"/>
      <c r="K179" s="750"/>
      <c r="M179" s="750"/>
    </row>
    <row r="180" spans="1:13">
      <c r="A180" s="750"/>
      <c r="B180" s="750"/>
      <c r="C180" s="750"/>
      <c r="D180" s="750"/>
      <c r="E180" s="750"/>
      <c r="F180" s="750"/>
      <c r="G180" s="750"/>
      <c r="H180" s="750"/>
      <c r="I180" s="750"/>
      <c r="J180" s="750"/>
      <c r="K180" s="750"/>
      <c r="M180" s="750"/>
    </row>
    <row r="181" spans="1:13">
      <c r="A181" s="750"/>
      <c r="B181" s="750"/>
      <c r="C181" s="750"/>
      <c r="D181" s="750"/>
      <c r="E181" s="750"/>
      <c r="F181" s="750"/>
      <c r="G181" s="750"/>
      <c r="H181" s="750"/>
      <c r="I181" s="750"/>
      <c r="J181" s="750"/>
      <c r="K181" s="750"/>
      <c r="M181" s="750"/>
    </row>
    <row r="182" spans="1:13">
      <c r="A182" s="750"/>
      <c r="B182" s="750"/>
      <c r="C182" s="750"/>
      <c r="D182" s="750"/>
      <c r="E182" s="750"/>
      <c r="F182" s="750"/>
      <c r="G182" s="750"/>
      <c r="H182" s="750"/>
      <c r="I182" s="750"/>
      <c r="J182" s="750"/>
      <c r="K182" s="750"/>
      <c r="M182" s="750"/>
    </row>
    <row r="183" spans="1:13">
      <c r="A183" s="750"/>
      <c r="B183" s="750"/>
      <c r="C183" s="750"/>
      <c r="D183" s="750"/>
      <c r="E183" s="750"/>
      <c r="F183" s="750"/>
      <c r="G183" s="750"/>
      <c r="H183" s="750"/>
      <c r="I183" s="750"/>
      <c r="J183" s="750"/>
      <c r="K183" s="750"/>
      <c r="M183" s="750"/>
    </row>
    <row r="184" spans="1:13">
      <c r="A184" s="750"/>
      <c r="B184" s="750"/>
      <c r="C184" s="750"/>
      <c r="D184" s="750"/>
      <c r="E184" s="750"/>
      <c r="F184" s="750"/>
      <c r="G184" s="750"/>
      <c r="H184" s="750"/>
      <c r="I184" s="750"/>
      <c r="J184" s="750"/>
      <c r="K184" s="750"/>
      <c r="M184" s="750"/>
    </row>
    <row r="185" spans="1:13">
      <c r="A185" s="750"/>
      <c r="B185" s="750"/>
      <c r="C185" s="750"/>
      <c r="D185" s="750"/>
      <c r="E185" s="750"/>
      <c r="F185" s="750"/>
      <c r="G185" s="750"/>
      <c r="H185" s="750"/>
      <c r="I185" s="750"/>
      <c r="J185" s="750"/>
      <c r="K185" s="750"/>
      <c r="M185" s="750"/>
    </row>
    <row r="186" spans="1:13">
      <c r="A186" s="750"/>
      <c r="B186" s="750"/>
      <c r="C186" s="750"/>
      <c r="D186" s="750"/>
      <c r="E186" s="750"/>
      <c r="F186" s="750"/>
      <c r="G186" s="750"/>
      <c r="H186" s="750"/>
      <c r="I186" s="750"/>
      <c r="J186" s="750"/>
      <c r="K186" s="750"/>
      <c r="M186" s="750"/>
    </row>
    <row r="187" spans="1:13">
      <c r="A187" s="750"/>
      <c r="B187" s="750"/>
      <c r="C187" s="750"/>
      <c r="D187" s="750"/>
      <c r="E187" s="750"/>
      <c r="F187" s="750"/>
      <c r="G187" s="750"/>
      <c r="H187" s="750"/>
      <c r="I187" s="750"/>
      <c r="J187" s="750"/>
      <c r="K187" s="750"/>
      <c r="M187" s="750"/>
    </row>
    <row r="188" spans="1:13">
      <c r="A188" s="750"/>
      <c r="B188" s="750"/>
      <c r="C188" s="750"/>
      <c r="D188" s="750"/>
      <c r="E188" s="750"/>
      <c r="F188" s="750"/>
      <c r="G188" s="750"/>
      <c r="H188" s="750"/>
      <c r="I188" s="750"/>
      <c r="J188" s="750"/>
      <c r="K188" s="750"/>
      <c r="M188" s="750"/>
    </row>
    <row r="189" spans="1:13">
      <c r="A189" s="750"/>
      <c r="B189" s="750"/>
      <c r="C189" s="750"/>
      <c r="D189" s="750"/>
      <c r="E189" s="750"/>
      <c r="F189" s="750"/>
      <c r="G189" s="750"/>
      <c r="H189" s="750"/>
      <c r="I189" s="750"/>
      <c r="J189" s="750"/>
      <c r="K189" s="750"/>
      <c r="M189" s="750"/>
    </row>
    <row r="190" spans="1:13">
      <c r="A190" s="750"/>
      <c r="B190" s="750"/>
      <c r="C190" s="750"/>
      <c r="D190" s="750"/>
      <c r="E190" s="750"/>
      <c r="F190" s="750"/>
      <c r="G190" s="750"/>
      <c r="H190" s="750"/>
      <c r="I190" s="750"/>
      <c r="J190" s="750"/>
      <c r="K190" s="750"/>
      <c r="M190" s="750"/>
    </row>
    <row r="191" spans="1:13">
      <c r="A191" s="750"/>
      <c r="B191" s="750"/>
      <c r="C191" s="750"/>
      <c r="D191" s="750"/>
      <c r="E191" s="750"/>
      <c r="F191" s="750"/>
      <c r="G191" s="750"/>
      <c r="H191" s="750"/>
      <c r="I191" s="750"/>
      <c r="J191" s="750"/>
      <c r="K191" s="750"/>
      <c r="M191" s="750"/>
    </row>
    <row r="192" spans="1:13">
      <c r="A192" s="750"/>
      <c r="B192" s="750"/>
      <c r="C192" s="750"/>
      <c r="D192" s="750"/>
      <c r="E192" s="750"/>
      <c r="F192" s="750"/>
      <c r="G192" s="750"/>
      <c r="H192" s="750"/>
      <c r="I192" s="750"/>
      <c r="J192" s="750"/>
      <c r="K192" s="750"/>
      <c r="M192" s="750"/>
    </row>
    <row r="193" spans="1:13">
      <c r="A193" s="750"/>
      <c r="B193" s="750"/>
      <c r="C193" s="750"/>
      <c r="D193" s="750"/>
      <c r="E193" s="750"/>
      <c r="F193" s="750"/>
      <c r="G193" s="750"/>
      <c r="H193" s="750"/>
      <c r="I193" s="750"/>
      <c r="J193" s="750"/>
      <c r="K193" s="750"/>
      <c r="M193" s="750"/>
    </row>
    <row r="194" spans="1:13">
      <c r="A194" s="750"/>
      <c r="B194" s="750"/>
      <c r="C194" s="750"/>
      <c r="D194" s="750"/>
      <c r="E194" s="750"/>
      <c r="F194" s="750"/>
      <c r="G194" s="750"/>
      <c r="H194" s="750"/>
      <c r="I194" s="750"/>
      <c r="J194" s="750"/>
      <c r="K194" s="750"/>
      <c r="M194" s="750"/>
    </row>
    <row r="195" spans="1:13">
      <c r="A195" s="750"/>
      <c r="B195" s="750"/>
      <c r="C195" s="750"/>
      <c r="D195" s="750"/>
      <c r="E195" s="750"/>
      <c r="F195" s="750"/>
      <c r="G195" s="750"/>
      <c r="H195" s="750"/>
      <c r="I195" s="750"/>
      <c r="J195" s="750"/>
      <c r="K195" s="750"/>
      <c r="M195" s="750"/>
    </row>
    <row r="196" spans="1:13">
      <c r="A196" s="750"/>
      <c r="B196" s="750"/>
      <c r="C196" s="750"/>
      <c r="D196" s="750"/>
      <c r="E196" s="750"/>
      <c r="F196" s="750"/>
      <c r="G196" s="750"/>
      <c r="H196" s="750"/>
      <c r="I196" s="750"/>
      <c r="J196" s="750"/>
      <c r="K196" s="750"/>
      <c r="M196" s="750"/>
    </row>
    <row r="197" spans="1:13">
      <c r="A197" s="750"/>
      <c r="B197" s="750"/>
      <c r="C197" s="750"/>
      <c r="D197" s="750"/>
      <c r="E197" s="750"/>
      <c r="F197" s="750"/>
      <c r="G197" s="750"/>
      <c r="H197" s="750"/>
      <c r="I197" s="750"/>
      <c r="J197" s="750"/>
      <c r="K197" s="750"/>
      <c r="M197" s="750"/>
    </row>
    <row r="198" spans="1:13">
      <c r="A198" s="750"/>
      <c r="B198" s="750"/>
      <c r="C198" s="750"/>
      <c r="D198" s="750"/>
      <c r="E198" s="750"/>
      <c r="F198" s="750"/>
      <c r="G198" s="750"/>
      <c r="H198" s="750"/>
      <c r="I198" s="750"/>
      <c r="J198" s="750"/>
      <c r="K198" s="750"/>
      <c r="M198" s="750"/>
    </row>
    <row r="199" spans="1:13">
      <c r="A199" s="750"/>
      <c r="B199" s="750"/>
      <c r="C199" s="750"/>
      <c r="D199" s="750"/>
      <c r="E199" s="750"/>
      <c r="F199" s="750"/>
      <c r="G199" s="750"/>
      <c r="H199" s="750"/>
      <c r="I199" s="750"/>
      <c r="J199" s="750"/>
      <c r="K199" s="750"/>
      <c r="M199" s="750"/>
    </row>
    <row r="200" spans="1:13">
      <c r="A200" s="750"/>
      <c r="B200" s="750"/>
      <c r="C200" s="750"/>
      <c r="D200" s="750"/>
      <c r="E200" s="750"/>
      <c r="F200" s="750"/>
      <c r="G200" s="750"/>
      <c r="H200" s="750"/>
      <c r="I200" s="750"/>
      <c r="J200" s="750"/>
      <c r="K200" s="750"/>
      <c r="M200" s="750"/>
    </row>
    <row r="201" spans="1:13">
      <c r="A201" s="750"/>
      <c r="B201" s="750"/>
      <c r="C201" s="750"/>
      <c r="D201" s="750"/>
      <c r="E201" s="750"/>
      <c r="F201" s="750"/>
      <c r="G201" s="750"/>
      <c r="H201" s="750"/>
      <c r="I201" s="750"/>
      <c r="J201" s="750"/>
      <c r="K201" s="750"/>
      <c r="M201" s="750"/>
    </row>
    <row r="202" spans="1:13">
      <c r="A202" s="750"/>
      <c r="B202" s="750"/>
      <c r="C202" s="750"/>
      <c r="D202" s="750"/>
      <c r="E202" s="750"/>
      <c r="F202" s="750"/>
      <c r="G202" s="750"/>
      <c r="H202" s="750"/>
      <c r="I202" s="750"/>
      <c r="J202" s="750"/>
      <c r="K202" s="750"/>
      <c r="M202" s="750"/>
    </row>
    <row r="203" spans="1:13">
      <c r="A203" s="750"/>
      <c r="B203" s="750"/>
      <c r="C203" s="750"/>
      <c r="D203" s="750"/>
      <c r="E203" s="750"/>
      <c r="F203" s="750"/>
      <c r="G203" s="750"/>
      <c r="H203" s="750"/>
      <c r="I203" s="750"/>
      <c r="J203" s="750"/>
      <c r="K203" s="750"/>
      <c r="M203" s="750"/>
    </row>
    <row r="204" spans="1:13">
      <c r="A204" s="750"/>
      <c r="B204" s="750"/>
      <c r="C204" s="750"/>
      <c r="D204" s="750"/>
      <c r="E204" s="750"/>
      <c r="F204" s="750"/>
      <c r="G204" s="750"/>
      <c r="H204" s="750"/>
      <c r="I204" s="750"/>
      <c r="J204" s="750"/>
      <c r="K204" s="750"/>
      <c r="M204" s="750"/>
    </row>
    <row r="205" spans="1:13">
      <c r="A205" s="750"/>
      <c r="B205" s="750"/>
      <c r="C205" s="750"/>
      <c r="D205" s="750"/>
      <c r="E205" s="750"/>
      <c r="F205" s="750"/>
      <c r="G205" s="750"/>
      <c r="H205" s="750"/>
      <c r="I205" s="750"/>
      <c r="J205" s="750"/>
      <c r="K205" s="750"/>
      <c r="M205" s="750"/>
    </row>
    <row r="206" spans="1:13">
      <c r="A206" s="750"/>
      <c r="B206" s="750"/>
      <c r="C206" s="750"/>
      <c r="D206" s="750"/>
      <c r="E206" s="750"/>
      <c r="F206" s="750"/>
      <c r="G206" s="750"/>
      <c r="H206" s="750"/>
      <c r="I206" s="750"/>
      <c r="J206" s="750"/>
      <c r="K206" s="750"/>
      <c r="M206" s="750"/>
    </row>
    <row r="207" spans="1:13">
      <c r="A207" s="750"/>
      <c r="B207" s="750"/>
      <c r="C207" s="750"/>
      <c r="D207" s="750"/>
      <c r="E207" s="750"/>
      <c r="F207" s="750"/>
      <c r="G207" s="750"/>
      <c r="H207" s="750"/>
      <c r="I207" s="750"/>
      <c r="J207" s="750"/>
      <c r="K207" s="750"/>
      <c r="M207" s="750"/>
    </row>
    <row r="208" spans="1:13">
      <c r="A208" s="750"/>
      <c r="B208" s="750"/>
      <c r="C208" s="750"/>
      <c r="D208" s="750"/>
      <c r="E208" s="750"/>
      <c r="F208" s="750"/>
      <c r="G208" s="750"/>
      <c r="H208" s="750"/>
      <c r="I208" s="750"/>
      <c r="J208" s="750"/>
      <c r="K208" s="750"/>
      <c r="M208" s="750"/>
    </row>
    <row r="209" spans="1:13">
      <c r="A209" s="750"/>
      <c r="B209" s="750"/>
      <c r="C209" s="750"/>
      <c r="D209" s="750"/>
      <c r="E209" s="750"/>
      <c r="F209" s="750"/>
      <c r="G209" s="750"/>
      <c r="H209" s="750"/>
      <c r="I209" s="750"/>
      <c r="J209" s="750"/>
      <c r="K209" s="750"/>
      <c r="M209" s="750"/>
    </row>
    <row r="210" spans="1:13">
      <c r="A210" s="750"/>
      <c r="B210" s="750"/>
      <c r="C210" s="750"/>
      <c r="D210" s="750"/>
      <c r="E210" s="750"/>
      <c r="F210" s="750"/>
      <c r="G210" s="750"/>
      <c r="H210" s="750"/>
      <c r="I210" s="750"/>
      <c r="J210" s="750"/>
      <c r="K210" s="750"/>
      <c r="M210" s="750"/>
    </row>
    <row r="211" spans="1:13">
      <c r="A211" s="750"/>
      <c r="B211" s="750"/>
      <c r="C211" s="750"/>
      <c r="D211" s="750"/>
      <c r="E211" s="750"/>
      <c r="F211" s="750"/>
      <c r="G211" s="750"/>
      <c r="H211" s="750"/>
      <c r="I211" s="750"/>
      <c r="J211" s="750"/>
      <c r="K211" s="750"/>
      <c r="M211" s="750"/>
    </row>
    <row r="212" spans="1:13">
      <c r="A212" s="750"/>
      <c r="B212" s="750"/>
      <c r="C212" s="750"/>
      <c r="D212" s="750"/>
      <c r="E212" s="750"/>
      <c r="F212" s="750"/>
      <c r="G212" s="750"/>
      <c r="H212" s="750"/>
      <c r="I212" s="750"/>
      <c r="J212" s="750"/>
      <c r="K212" s="750"/>
      <c r="M212" s="750"/>
    </row>
    <row r="213" spans="1:13">
      <c r="A213" s="750"/>
      <c r="B213" s="750"/>
      <c r="C213" s="750"/>
      <c r="D213" s="750"/>
      <c r="E213" s="750"/>
      <c r="F213" s="750"/>
      <c r="G213" s="750"/>
      <c r="H213" s="750"/>
      <c r="I213" s="750"/>
      <c r="J213" s="750"/>
      <c r="K213" s="750"/>
      <c r="M213" s="750"/>
    </row>
    <row r="214" spans="1:13">
      <c r="A214" s="750"/>
      <c r="B214" s="750"/>
      <c r="C214" s="750"/>
      <c r="D214" s="750"/>
      <c r="E214" s="750"/>
      <c r="F214" s="750"/>
      <c r="G214" s="750"/>
      <c r="H214" s="750"/>
      <c r="I214" s="750"/>
      <c r="J214" s="750"/>
      <c r="K214" s="750"/>
      <c r="M214" s="750"/>
    </row>
    <row r="215" spans="1:13">
      <c r="A215" s="750"/>
      <c r="B215" s="750"/>
      <c r="C215" s="750"/>
      <c r="D215" s="750"/>
      <c r="E215" s="750"/>
      <c r="F215" s="750"/>
      <c r="G215" s="750"/>
      <c r="H215" s="750"/>
      <c r="I215" s="750"/>
      <c r="J215" s="750"/>
      <c r="K215" s="750"/>
      <c r="M215" s="750"/>
    </row>
    <row r="216" spans="1:13">
      <c r="A216" s="750"/>
      <c r="B216" s="750"/>
      <c r="C216" s="750"/>
      <c r="D216" s="750"/>
      <c r="E216" s="750"/>
      <c r="F216" s="750"/>
      <c r="G216" s="750"/>
      <c r="H216" s="750"/>
      <c r="I216" s="750"/>
      <c r="J216" s="750"/>
      <c r="K216" s="750"/>
      <c r="M216" s="750"/>
    </row>
    <row r="217" spans="1:13">
      <c r="A217" s="750"/>
      <c r="B217" s="750"/>
      <c r="C217" s="750"/>
      <c r="D217" s="750"/>
      <c r="E217" s="750"/>
      <c r="F217" s="750"/>
      <c r="G217" s="750"/>
      <c r="H217" s="750"/>
      <c r="I217" s="750"/>
      <c r="J217" s="750"/>
      <c r="K217" s="750"/>
      <c r="M217" s="750"/>
    </row>
    <row r="218" spans="1:13">
      <c r="A218" s="750"/>
      <c r="B218" s="750"/>
      <c r="C218" s="750"/>
      <c r="D218" s="750"/>
      <c r="E218" s="750"/>
      <c r="F218" s="750"/>
      <c r="G218" s="750"/>
      <c r="H218" s="750"/>
      <c r="I218" s="750"/>
      <c r="J218" s="750"/>
      <c r="K218" s="750"/>
      <c r="M218" s="750"/>
    </row>
    <row r="219" spans="1:13">
      <c r="A219" s="750"/>
      <c r="B219" s="750"/>
      <c r="C219" s="750"/>
      <c r="D219" s="750"/>
      <c r="E219" s="750"/>
      <c r="F219" s="750"/>
      <c r="G219" s="750"/>
      <c r="H219" s="750"/>
      <c r="I219" s="750"/>
      <c r="J219" s="750"/>
      <c r="K219" s="750"/>
      <c r="M219" s="750"/>
    </row>
    <row r="220" spans="1:13">
      <c r="A220" s="750"/>
      <c r="B220" s="750"/>
      <c r="C220" s="750"/>
      <c r="D220" s="750"/>
      <c r="E220" s="750"/>
      <c r="F220" s="750"/>
      <c r="G220" s="750"/>
      <c r="H220" s="750"/>
      <c r="I220" s="750"/>
      <c r="J220" s="750"/>
      <c r="K220" s="750"/>
      <c r="M220" s="750"/>
    </row>
    <row r="221" spans="1:13">
      <c r="A221" s="750"/>
      <c r="B221" s="750"/>
      <c r="C221" s="750"/>
      <c r="D221" s="750"/>
      <c r="E221" s="750"/>
      <c r="F221" s="750"/>
      <c r="G221" s="750"/>
      <c r="H221" s="750"/>
      <c r="I221" s="750"/>
      <c r="J221" s="750"/>
      <c r="K221" s="750"/>
      <c r="M221" s="750"/>
    </row>
    <row r="222" spans="1:13">
      <c r="A222" s="750"/>
      <c r="B222" s="750"/>
      <c r="C222" s="750"/>
      <c r="D222" s="750"/>
      <c r="E222" s="750"/>
      <c r="F222" s="750"/>
      <c r="G222" s="750"/>
      <c r="H222" s="750"/>
      <c r="I222" s="750"/>
      <c r="J222" s="750"/>
      <c r="K222" s="750"/>
      <c r="M222" s="750"/>
    </row>
    <row r="223" spans="1:13">
      <c r="A223" s="750"/>
      <c r="B223" s="750"/>
      <c r="C223" s="750"/>
      <c r="D223" s="750"/>
      <c r="E223" s="750"/>
      <c r="F223" s="750"/>
      <c r="G223" s="750"/>
      <c r="H223" s="750"/>
      <c r="I223" s="750"/>
      <c r="J223" s="750"/>
      <c r="K223" s="750"/>
      <c r="M223" s="750"/>
    </row>
    <row r="224" spans="1:13">
      <c r="A224" s="750"/>
      <c r="B224" s="750"/>
      <c r="C224" s="750"/>
      <c r="D224" s="750"/>
      <c r="E224" s="750"/>
      <c r="F224" s="750"/>
      <c r="G224" s="750"/>
      <c r="H224" s="750"/>
      <c r="I224" s="750"/>
      <c r="J224" s="750"/>
      <c r="K224" s="750"/>
      <c r="M224" s="750"/>
    </row>
    <row r="225" spans="1:13">
      <c r="A225" s="750"/>
      <c r="B225" s="750"/>
      <c r="C225" s="750"/>
      <c r="D225" s="750"/>
      <c r="E225" s="750"/>
      <c r="F225" s="750"/>
      <c r="G225" s="750"/>
      <c r="H225" s="750"/>
      <c r="I225" s="750"/>
      <c r="J225" s="750"/>
      <c r="K225" s="750"/>
      <c r="M225" s="750"/>
    </row>
    <row r="226" spans="1:13">
      <c r="A226" s="750"/>
      <c r="B226" s="750"/>
      <c r="C226" s="750"/>
      <c r="D226" s="750"/>
      <c r="E226" s="750"/>
      <c r="F226" s="750"/>
      <c r="G226" s="750"/>
      <c r="H226" s="750"/>
      <c r="I226" s="750"/>
      <c r="J226" s="750"/>
      <c r="K226" s="750"/>
      <c r="M226" s="750"/>
    </row>
    <row r="227" spans="1:13">
      <c r="A227" s="750"/>
      <c r="B227" s="750"/>
      <c r="C227" s="750"/>
      <c r="D227" s="750"/>
      <c r="E227" s="750"/>
      <c r="F227" s="750"/>
      <c r="G227" s="750"/>
      <c r="H227" s="750"/>
      <c r="I227" s="750"/>
      <c r="J227" s="750"/>
      <c r="K227" s="750"/>
      <c r="M227" s="750"/>
    </row>
    <row r="228" spans="1:13">
      <c r="A228" s="750"/>
      <c r="B228" s="750"/>
      <c r="C228" s="750"/>
      <c r="D228" s="750"/>
      <c r="E228" s="750"/>
      <c r="F228" s="750"/>
      <c r="G228" s="750"/>
      <c r="H228" s="750"/>
      <c r="I228" s="750"/>
      <c r="J228" s="750"/>
      <c r="K228" s="750"/>
      <c r="M228" s="750"/>
    </row>
    <row r="229" spans="1:13">
      <c r="A229" s="750"/>
      <c r="B229" s="750"/>
      <c r="C229" s="750"/>
      <c r="D229" s="750"/>
      <c r="E229" s="750"/>
      <c r="F229" s="750"/>
      <c r="G229" s="750"/>
      <c r="H229" s="750"/>
      <c r="I229" s="750"/>
      <c r="J229" s="750"/>
      <c r="K229" s="750"/>
      <c r="M229" s="750"/>
    </row>
    <row r="230" spans="1:13">
      <c r="A230" s="750"/>
      <c r="B230" s="750"/>
      <c r="C230" s="750"/>
      <c r="D230" s="750"/>
      <c r="E230" s="750"/>
      <c r="F230" s="750"/>
      <c r="G230" s="750"/>
      <c r="H230" s="750"/>
      <c r="I230" s="750"/>
      <c r="J230" s="750"/>
      <c r="K230" s="750"/>
      <c r="M230" s="750"/>
    </row>
    <row r="231" spans="1:13">
      <c r="A231" s="750"/>
      <c r="B231" s="750"/>
      <c r="C231" s="750"/>
      <c r="D231" s="750"/>
      <c r="E231" s="750"/>
      <c r="F231" s="750"/>
      <c r="G231" s="750"/>
      <c r="H231" s="750"/>
      <c r="I231" s="750"/>
      <c r="J231" s="750"/>
      <c r="K231" s="750"/>
      <c r="M231" s="750"/>
    </row>
    <row r="232" spans="1:13">
      <c r="A232" s="750"/>
      <c r="B232" s="750"/>
      <c r="C232" s="750"/>
      <c r="D232" s="750"/>
      <c r="E232" s="750"/>
      <c r="F232" s="750"/>
      <c r="G232" s="750"/>
      <c r="H232" s="750"/>
      <c r="I232" s="750"/>
      <c r="J232" s="750"/>
      <c r="K232" s="750"/>
      <c r="M232" s="750"/>
    </row>
    <row r="233" spans="1:13">
      <c r="A233" s="750"/>
      <c r="B233" s="750"/>
      <c r="C233" s="750"/>
      <c r="D233" s="750"/>
      <c r="E233" s="750"/>
      <c r="F233" s="750"/>
      <c r="G233" s="750"/>
      <c r="H233" s="750"/>
      <c r="I233" s="750"/>
      <c r="J233" s="750"/>
      <c r="K233" s="750"/>
      <c r="M233" s="750"/>
    </row>
    <row r="234" spans="1:13">
      <c r="A234" s="750"/>
      <c r="B234" s="750"/>
      <c r="C234" s="750"/>
      <c r="D234" s="750"/>
      <c r="E234" s="750"/>
      <c r="F234" s="750"/>
      <c r="G234" s="750"/>
      <c r="H234" s="750"/>
      <c r="I234" s="750"/>
      <c r="J234" s="750"/>
      <c r="K234" s="750"/>
      <c r="M234" s="750"/>
    </row>
    <row r="235" spans="1:13">
      <c r="A235" s="750"/>
      <c r="B235" s="750"/>
      <c r="C235" s="750"/>
      <c r="D235" s="750"/>
      <c r="E235" s="750"/>
      <c r="F235" s="750"/>
      <c r="G235" s="750"/>
      <c r="H235" s="750"/>
      <c r="I235" s="750"/>
      <c r="J235" s="750"/>
      <c r="K235" s="750"/>
      <c r="M235" s="750"/>
    </row>
    <row r="236" spans="1:13">
      <c r="A236" s="750"/>
      <c r="B236" s="750"/>
      <c r="C236" s="750"/>
      <c r="D236" s="750"/>
      <c r="E236" s="750"/>
      <c r="F236" s="750"/>
      <c r="G236" s="750"/>
      <c r="H236" s="750"/>
      <c r="I236" s="750"/>
      <c r="J236" s="750"/>
      <c r="K236" s="750"/>
      <c r="M236" s="750"/>
    </row>
    <row r="237" spans="1:13">
      <c r="A237" s="750"/>
      <c r="B237" s="750"/>
      <c r="C237" s="750"/>
      <c r="D237" s="750"/>
      <c r="E237" s="750"/>
      <c r="F237" s="750"/>
      <c r="G237" s="750"/>
      <c r="H237" s="750"/>
      <c r="I237" s="750"/>
      <c r="J237" s="750"/>
      <c r="K237" s="750"/>
      <c r="M237" s="750"/>
    </row>
    <row r="238" spans="1:13">
      <c r="A238" s="750"/>
      <c r="B238" s="750"/>
      <c r="C238" s="750"/>
      <c r="D238" s="750"/>
      <c r="E238" s="750"/>
      <c r="F238" s="750"/>
      <c r="G238" s="750"/>
      <c r="H238" s="750"/>
      <c r="I238" s="750"/>
      <c r="J238" s="750"/>
      <c r="K238" s="750"/>
      <c r="M238" s="750"/>
    </row>
    <row r="239" spans="1:13">
      <c r="A239" s="750"/>
      <c r="B239" s="750"/>
      <c r="C239" s="750"/>
      <c r="D239" s="750"/>
      <c r="E239" s="750"/>
      <c r="F239" s="750"/>
      <c r="G239" s="750"/>
      <c r="H239" s="750"/>
      <c r="I239" s="750"/>
      <c r="J239" s="750"/>
      <c r="K239" s="750"/>
      <c r="M239" s="750"/>
    </row>
    <row r="240" spans="1:13">
      <c r="A240" s="750"/>
      <c r="B240" s="750"/>
      <c r="C240" s="750"/>
      <c r="D240" s="750"/>
      <c r="E240" s="750"/>
      <c r="F240" s="750"/>
      <c r="G240" s="750"/>
      <c r="H240" s="750"/>
      <c r="I240" s="750"/>
      <c r="J240" s="750"/>
      <c r="K240" s="750"/>
      <c r="M240" s="750"/>
    </row>
    <row r="241" spans="1:13">
      <c r="A241" s="750"/>
      <c r="B241" s="750"/>
      <c r="C241" s="750"/>
      <c r="D241" s="750"/>
      <c r="E241" s="750"/>
      <c r="F241" s="750"/>
      <c r="G241" s="750"/>
      <c r="H241" s="750"/>
      <c r="I241" s="750"/>
      <c r="J241" s="750"/>
      <c r="K241" s="750"/>
      <c r="M241" s="750"/>
    </row>
    <row r="242" spans="1:13">
      <c r="A242" s="750"/>
      <c r="B242" s="750"/>
      <c r="C242" s="750"/>
      <c r="D242" s="750"/>
      <c r="E242" s="750"/>
      <c r="F242" s="750"/>
      <c r="G242" s="750"/>
      <c r="H242" s="750"/>
      <c r="I242" s="750"/>
      <c r="J242" s="750"/>
      <c r="K242" s="750"/>
      <c r="M242" s="750"/>
    </row>
    <row r="243" spans="1:13">
      <c r="A243" s="750"/>
      <c r="B243" s="750"/>
      <c r="C243" s="750"/>
      <c r="D243" s="750"/>
      <c r="E243" s="750"/>
      <c r="F243" s="750"/>
      <c r="G243" s="750"/>
      <c r="H243" s="750"/>
      <c r="I243" s="750"/>
      <c r="J243" s="750"/>
      <c r="K243" s="750"/>
      <c r="M243" s="750"/>
    </row>
    <row r="244" spans="1:13">
      <c r="A244" s="750"/>
      <c r="B244" s="750"/>
      <c r="C244" s="750"/>
      <c r="D244" s="750"/>
      <c r="E244" s="750"/>
      <c r="F244" s="750"/>
      <c r="G244" s="750"/>
      <c r="H244" s="750"/>
      <c r="I244" s="750"/>
      <c r="J244" s="750"/>
      <c r="K244" s="750"/>
      <c r="M244" s="750"/>
    </row>
    <row r="245" spans="1:13">
      <c r="A245" s="750"/>
      <c r="B245" s="750"/>
      <c r="C245" s="750"/>
      <c r="D245" s="750"/>
      <c r="E245" s="750"/>
      <c r="F245" s="750"/>
      <c r="G245" s="750"/>
      <c r="H245" s="750"/>
      <c r="I245" s="750"/>
      <c r="J245" s="750"/>
      <c r="K245" s="750"/>
      <c r="M245" s="750"/>
    </row>
    <row r="246" spans="1:13">
      <c r="A246" s="750"/>
      <c r="B246" s="750"/>
      <c r="C246" s="750"/>
      <c r="D246" s="750"/>
      <c r="E246" s="750"/>
      <c r="F246" s="750"/>
      <c r="G246" s="750"/>
      <c r="H246" s="750"/>
      <c r="I246" s="750"/>
      <c r="J246" s="750"/>
      <c r="K246" s="750"/>
      <c r="M246" s="750"/>
    </row>
    <row r="247" spans="1:13">
      <c r="A247" s="750"/>
      <c r="B247" s="750"/>
      <c r="C247" s="750"/>
      <c r="D247" s="750"/>
      <c r="E247" s="750"/>
      <c r="F247" s="750"/>
      <c r="G247" s="750"/>
      <c r="H247" s="750"/>
      <c r="I247" s="750"/>
      <c r="J247" s="750"/>
      <c r="K247" s="750"/>
      <c r="M247" s="750"/>
    </row>
    <row r="248" spans="1:13">
      <c r="A248" s="750"/>
      <c r="B248" s="750"/>
      <c r="C248" s="750"/>
      <c r="D248" s="750"/>
      <c r="E248" s="750"/>
      <c r="F248" s="750"/>
      <c r="G248" s="750"/>
      <c r="H248" s="750"/>
      <c r="I248" s="750"/>
      <c r="J248" s="750"/>
      <c r="K248" s="750"/>
      <c r="M248" s="750"/>
    </row>
    <row r="249" spans="1:13">
      <c r="A249" s="750"/>
      <c r="B249" s="750"/>
      <c r="C249" s="750"/>
      <c r="D249" s="750"/>
      <c r="E249" s="750"/>
      <c r="F249" s="750"/>
      <c r="G249" s="750"/>
      <c r="H249" s="750"/>
      <c r="I249" s="750"/>
      <c r="J249" s="750"/>
      <c r="K249" s="750"/>
      <c r="M249" s="750"/>
    </row>
    <row r="250" spans="1:13">
      <c r="A250" s="750"/>
      <c r="B250" s="750"/>
      <c r="C250" s="750"/>
      <c r="D250" s="750"/>
      <c r="E250" s="750"/>
      <c r="F250" s="750"/>
      <c r="G250" s="750"/>
      <c r="H250" s="750"/>
      <c r="I250" s="750"/>
      <c r="J250" s="750"/>
      <c r="K250" s="750"/>
      <c r="M250" s="750"/>
    </row>
    <row r="251" spans="1:13">
      <c r="A251" s="750"/>
      <c r="B251" s="750"/>
      <c r="C251" s="750"/>
      <c r="D251" s="750"/>
      <c r="E251" s="750"/>
      <c r="F251" s="750"/>
      <c r="G251" s="750"/>
      <c r="H251" s="750"/>
      <c r="I251" s="750"/>
      <c r="J251" s="750"/>
      <c r="K251" s="750"/>
      <c r="M251" s="750"/>
    </row>
    <row r="252" spans="1:13">
      <c r="A252" s="750"/>
      <c r="B252" s="750"/>
      <c r="C252" s="750"/>
      <c r="D252" s="750"/>
      <c r="E252" s="750"/>
      <c r="F252" s="750"/>
      <c r="G252" s="750"/>
      <c r="H252" s="750"/>
      <c r="I252" s="750"/>
      <c r="J252" s="750"/>
      <c r="K252" s="750"/>
      <c r="M252" s="750"/>
    </row>
    <row r="253" spans="1:13">
      <c r="A253" s="750"/>
      <c r="B253" s="750"/>
      <c r="C253" s="750"/>
      <c r="D253" s="750"/>
      <c r="E253" s="750"/>
      <c r="F253" s="750"/>
      <c r="G253" s="750"/>
      <c r="H253" s="750"/>
      <c r="I253" s="750"/>
      <c r="J253" s="750"/>
      <c r="K253" s="750"/>
      <c r="M253" s="750"/>
    </row>
    <row r="254" spans="1:13">
      <c r="A254" s="750"/>
      <c r="B254" s="750"/>
      <c r="C254" s="750"/>
      <c r="D254" s="750"/>
      <c r="E254" s="750"/>
      <c r="F254" s="750"/>
      <c r="G254" s="750"/>
      <c r="H254" s="750"/>
      <c r="I254" s="750"/>
      <c r="J254" s="750"/>
      <c r="K254" s="750"/>
      <c r="M254" s="750"/>
    </row>
    <row r="255" spans="1:13">
      <c r="A255" s="750"/>
      <c r="B255" s="750"/>
      <c r="C255" s="750"/>
      <c r="D255" s="750"/>
      <c r="E255" s="750"/>
      <c r="F255" s="750"/>
      <c r="G255" s="750"/>
      <c r="H255" s="750"/>
      <c r="I255" s="750"/>
      <c r="J255" s="750"/>
      <c r="K255" s="750"/>
      <c r="M255" s="750"/>
    </row>
    <row r="256" spans="1:13">
      <c r="A256" s="750"/>
      <c r="B256" s="750"/>
      <c r="C256" s="750"/>
      <c r="D256" s="750"/>
      <c r="E256" s="750"/>
      <c r="F256" s="750"/>
      <c r="G256" s="750"/>
      <c r="H256" s="750"/>
      <c r="I256" s="750"/>
      <c r="J256" s="750"/>
      <c r="K256" s="750"/>
      <c r="M256" s="750"/>
    </row>
    <row r="257" spans="1:13">
      <c r="A257" s="750"/>
      <c r="B257" s="750"/>
      <c r="C257" s="750"/>
      <c r="D257" s="750"/>
      <c r="E257" s="750"/>
      <c r="F257" s="750"/>
      <c r="G257" s="750"/>
      <c r="H257" s="750"/>
      <c r="I257" s="750"/>
      <c r="J257" s="750"/>
      <c r="K257" s="750"/>
      <c r="M257" s="750"/>
    </row>
    <row r="258" spans="1:13">
      <c r="A258" s="750"/>
      <c r="B258" s="750"/>
      <c r="C258" s="750"/>
      <c r="D258" s="750"/>
      <c r="E258" s="750"/>
      <c r="F258" s="750"/>
      <c r="G258" s="750"/>
      <c r="H258" s="750"/>
      <c r="I258" s="750"/>
      <c r="J258" s="750"/>
      <c r="K258" s="750"/>
      <c r="M258" s="750"/>
    </row>
    <row r="259" spans="1:13">
      <c r="A259" s="750"/>
      <c r="B259" s="750"/>
      <c r="C259" s="750"/>
      <c r="D259" s="750"/>
      <c r="E259" s="750"/>
      <c r="F259" s="750"/>
      <c r="G259" s="750"/>
      <c r="H259" s="750"/>
      <c r="I259" s="750"/>
      <c r="J259" s="750"/>
      <c r="K259" s="750"/>
      <c r="M259" s="750"/>
    </row>
    <row r="260" spans="1:13">
      <c r="A260" s="750"/>
      <c r="B260" s="750"/>
      <c r="C260" s="750"/>
      <c r="D260" s="750"/>
      <c r="E260" s="750"/>
      <c r="F260" s="750"/>
      <c r="G260" s="750"/>
      <c r="H260" s="750"/>
      <c r="I260" s="750"/>
      <c r="J260" s="750"/>
      <c r="K260" s="750"/>
      <c r="M260" s="750"/>
    </row>
    <row r="261" spans="1:13">
      <c r="A261" s="750"/>
      <c r="B261" s="750"/>
      <c r="C261" s="750"/>
      <c r="D261" s="750"/>
      <c r="E261" s="750"/>
      <c r="F261" s="750"/>
      <c r="G261" s="750"/>
      <c r="H261" s="750"/>
      <c r="I261" s="750"/>
      <c r="J261" s="750"/>
      <c r="K261" s="750"/>
      <c r="M261" s="750"/>
    </row>
    <row r="262" spans="1:13">
      <c r="A262" s="750"/>
      <c r="B262" s="750"/>
      <c r="C262" s="750"/>
      <c r="D262" s="750"/>
      <c r="E262" s="750"/>
      <c r="F262" s="750"/>
      <c r="G262" s="750"/>
      <c r="H262" s="750"/>
      <c r="I262" s="750"/>
      <c r="J262" s="750"/>
      <c r="K262" s="750"/>
      <c r="M262" s="750"/>
    </row>
    <row r="263" spans="1:13">
      <c r="A263" s="750"/>
      <c r="B263" s="750"/>
      <c r="C263" s="750"/>
      <c r="D263" s="750"/>
      <c r="E263" s="750"/>
      <c r="F263" s="750"/>
      <c r="G263" s="750"/>
      <c r="H263" s="750"/>
      <c r="I263" s="750"/>
      <c r="J263" s="750"/>
      <c r="K263" s="750"/>
      <c r="M263" s="750"/>
    </row>
    <row r="264" spans="1:13">
      <c r="A264" s="750"/>
      <c r="B264" s="750"/>
      <c r="C264" s="750"/>
      <c r="D264" s="750"/>
      <c r="E264" s="750"/>
      <c r="F264" s="750"/>
      <c r="G264" s="750"/>
      <c r="H264" s="750"/>
      <c r="I264" s="750"/>
      <c r="J264" s="750"/>
      <c r="K264" s="750"/>
      <c r="M264" s="750"/>
    </row>
    <row r="265" spans="1:13">
      <c r="A265" s="750"/>
      <c r="B265" s="750"/>
      <c r="C265" s="750"/>
      <c r="D265" s="750"/>
      <c r="E265" s="750"/>
      <c r="F265" s="750"/>
      <c r="G265" s="750"/>
      <c r="H265" s="750"/>
      <c r="I265" s="750"/>
      <c r="J265" s="750"/>
      <c r="K265" s="750"/>
      <c r="M265" s="750"/>
    </row>
    <row r="266" spans="1:13">
      <c r="A266" s="750"/>
      <c r="B266" s="750"/>
      <c r="C266" s="750"/>
      <c r="D266" s="750"/>
      <c r="E266" s="750"/>
      <c r="F266" s="750"/>
      <c r="G266" s="750"/>
      <c r="H266" s="750"/>
      <c r="I266" s="750"/>
      <c r="J266" s="750"/>
      <c r="K266" s="750"/>
      <c r="M266" s="750"/>
    </row>
    <row r="267" spans="1:13">
      <c r="A267" s="750"/>
      <c r="B267" s="750"/>
      <c r="C267" s="750"/>
      <c r="D267" s="750"/>
      <c r="E267" s="750"/>
      <c r="F267" s="750"/>
      <c r="G267" s="750"/>
      <c r="H267" s="750"/>
      <c r="I267" s="750"/>
      <c r="J267" s="750"/>
      <c r="K267" s="750"/>
      <c r="M267" s="750"/>
    </row>
    <row r="268" spans="1:13">
      <c r="A268" s="750"/>
      <c r="B268" s="750"/>
      <c r="C268" s="750"/>
      <c r="D268" s="750"/>
      <c r="E268" s="750"/>
      <c r="F268" s="750"/>
      <c r="G268" s="750"/>
      <c r="H268" s="750"/>
      <c r="I268" s="750"/>
      <c r="J268" s="750"/>
      <c r="K268" s="750"/>
      <c r="M268" s="750"/>
    </row>
    <row r="269" spans="1:13">
      <c r="A269" s="750"/>
      <c r="B269" s="750"/>
      <c r="C269" s="750"/>
      <c r="D269" s="750"/>
      <c r="E269" s="750"/>
      <c r="F269" s="750"/>
      <c r="G269" s="750"/>
      <c r="H269" s="750"/>
      <c r="I269" s="750"/>
      <c r="J269" s="750"/>
      <c r="K269" s="750"/>
      <c r="M269" s="750"/>
    </row>
    <row r="270" spans="1:13">
      <c r="A270" s="750"/>
      <c r="B270" s="750"/>
      <c r="C270" s="750"/>
      <c r="D270" s="750"/>
      <c r="E270" s="750"/>
      <c r="F270" s="750"/>
      <c r="G270" s="750"/>
      <c r="H270" s="750"/>
      <c r="I270" s="750"/>
      <c r="J270" s="750"/>
      <c r="K270" s="750"/>
      <c r="M270" s="750"/>
    </row>
    <row r="271" spans="1:13">
      <c r="A271" s="750"/>
      <c r="B271" s="750"/>
      <c r="C271" s="750"/>
      <c r="D271" s="750"/>
      <c r="E271" s="750"/>
      <c r="F271" s="750"/>
      <c r="G271" s="750"/>
      <c r="H271" s="750"/>
      <c r="I271" s="750"/>
      <c r="J271" s="750"/>
      <c r="K271" s="750"/>
      <c r="M271" s="750"/>
    </row>
    <row r="272" spans="1:13">
      <c r="A272" s="750"/>
      <c r="B272" s="750"/>
      <c r="C272" s="750"/>
      <c r="D272" s="750"/>
      <c r="E272" s="750"/>
      <c r="F272" s="750"/>
      <c r="G272" s="750"/>
      <c r="H272" s="750"/>
      <c r="I272" s="750"/>
      <c r="J272" s="750"/>
      <c r="K272" s="750"/>
      <c r="M272" s="750"/>
    </row>
    <row r="273" spans="1:13">
      <c r="A273" s="750"/>
      <c r="B273" s="750"/>
      <c r="C273" s="750"/>
      <c r="D273" s="750"/>
      <c r="E273" s="750"/>
      <c r="F273" s="750"/>
      <c r="G273" s="750"/>
      <c r="H273" s="750"/>
      <c r="I273" s="750"/>
      <c r="J273" s="750"/>
      <c r="K273" s="750"/>
      <c r="M273" s="750"/>
    </row>
    <row r="274" spans="1:13">
      <c r="A274" s="750"/>
      <c r="B274" s="750"/>
      <c r="C274" s="750"/>
      <c r="D274" s="750"/>
      <c r="E274" s="750"/>
      <c r="F274" s="750"/>
      <c r="G274" s="750"/>
      <c r="H274" s="750"/>
      <c r="I274" s="750"/>
      <c r="J274" s="750"/>
      <c r="K274" s="750"/>
      <c r="M274" s="750"/>
    </row>
    <row r="275" spans="1:13">
      <c r="A275" s="750"/>
      <c r="B275" s="750"/>
      <c r="C275" s="750"/>
      <c r="D275" s="750"/>
      <c r="E275" s="750"/>
      <c r="F275" s="750"/>
      <c r="G275" s="750"/>
      <c r="H275" s="750"/>
      <c r="I275" s="750"/>
      <c r="J275" s="750"/>
      <c r="K275" s="750"/>
      <c r="M275" s="750"/>
    </row>
    <row r="276" spans="1:13">
      <c r="A276" s="750"/>
      <c r="B276" s="750"/>
      <c r="C276" s="750"/>
      <c r="D276" s="750"/>
      <c r="E276" s="750"/>
      <c r="F276" s="750"/>
      <c r="G276" s="750"/>
      <c r="H276" s="750"/>
      <c r="I276" s="750"/>
      <c r="J276" s="750"/>
      <c r="K276" s="750"/>
      <c r="M276" s="750"/>
    </row>
    <row r="277" spans="1:13">
      <c r="A277" s="750"/>
      <c r="B277" s="750"/>
      <c r="C277" s="750"/>
      <c r="D277" s="750"/>
      <c r="E277" s="750"/>
      <c r="F277" s="750"/>
      <c r="G277" s="750"/>
      <c r="H277" s="750"/>
      <c r="I277" s="750"/>
      <c r="J277" s="750"/>
      <c r="K277" s="750"/>
      <c r="M277" s="750"/>
    </row>
    <row r="278" spans="1:13">
      <c r="A278" s="750"/>
      <c r="B278" s="750"/>
      <c r="C278" s="750"/>
      <c r="D278" s="750"/>
      <c r="E278" s="750"/>
      <c r="F278" s="750"/>
      <c r="G278" s="750"/>
      <c r="H278" s="750"/>
      <c r="I278" s="750"/>
      <c r="J278" s="750"/>
      <c r="K278" s="750"/>
      <c r="M278" s="750"/>
    </row>
    <row r="279" spans="1:13">
      <c r="A279" s="750"/>
      <c r="B279" s="750"/>
      <c r="C279" s="750"/>
      <c r="D279" s="750"/>
      <c r="E279" s="750"/>
      <c r="F279" s="750"/>
      <c r="G279" s="750"/>
      <c r="H279" s="750"/>
      <c r="I279" s="750"/>
      <c r="J279" s="750"/>
      <c r="K279" s="750"/>
      <c r="M279" s="750"/>
    </row>
    <row r="280" spans="1:13">
      <c r="A280" s="750"/>
      <c r="B280" s="750"/>
      <c r="C280" s="750"/>
      <c r="D280" s="750"/>
      <c r="E280" s="750"/>
      <c r="F280" s="750"/>
      <c r="G280" s="750"/>
      <c r="H280" s="750"/>
      <c r="I280" s="750"/>
      <c r="J280" s="750"/>
      <c r="K280" s="750"/>
      <c r="M280" s="750"/>
    </row>
    <row r="281" spans="1:13">
      <c r="A281" s="750"/>
      <c r="B281" s="750"/>
      <c r="C281" s="750"/>
      <c r="D281" s="750"/>
      <c r="E281" s="750"/>
      <c r="F281" s="750"/>
      <c r="G281" s="750"/>
      <c r="H281" s="750"/>
      <c r="I281" s="750"/>
      <c r="J281" s="750"/>
      <c r="K281" s="750"/>
      <c r="M281" s="750"/>
    </row>
    <row r="282" spans="1:13">
      <c r="A282" s="750"/>
      <c r="B282" s="750"/>
      <c r="C282" s="750"/>
      <c r="D282" s="750"/>
      <c r="E282" s="750"/>
      <c r="F282" s="750"/>
      <c r="G282" s="750"/>
      <c r="H282" s="750"/>
      <c r="I282" s="750"/>
      <c r="J282" s="750"/>
      <c r="K282" s="750"/>
      <c r="M282" s="750"/>
    </row>
    <row r="283" spans="1:13">
      <c r="A283" s="750"/>
      <c r="B283" s="750"/>
      <c r="C283" s="750"/>
      <c r="D283" s="750"/>
      <c r="E283" s="750"/>
      <c r="F283" s="750"/>
      <c r="G283" s="750"/>
      <c r="H283" s="750"/>
      <c r="I283" s="750"/>
      <c r="J283" s="750"/>
      <c r="K283" s="750"/>
      <c r="M283" s="750"/>
    </row>
    <row r="284" spans="1:13">
      <c r="A284" s="750"/>
      <c r="B284" s="750"/>
      <c r="C284" s="750"/>
      <c r="D284" s="750"/>
      <c r="E284" s="750"/>
      <c r="F284" s="750"/>
      <c r="G284" s="750"/>
      <c r="H284" s="750"/>
      <c r="I284" s="750"/>
      <c r="J284" s="750"/>
      <c r="K284" s="750"/>
      <c r="M284" s="750"/>
    </row>
    <row r="285" spans="1:13">
      <c r="A285" s="750"/>
      <c r="B285" s="750"/>
      <c r="C285" s="750"/>
      <c r="D285" s="750"/>
      <c r="E285" s="750"/>
      <c r="F285" s="750"/>
      <c r="G285" s="750"/>
      <c r="H285" s="750"/>
      <c r="I285" s="750"/>
      <c r="J285" s="750"/>
      <c r="K285" s="750"/>
      <c r="M285" s="750"/>
    </row>
    <row r="286" spans="1:13">
      <c r="A286" s="750"/>
      <c r="B286" s="750"/>
      <c r="C286" s="750"/>
      <c r="D286" s="750"/>
      <c r="E286" s="750"/>
      <c r="F286" s="750"/>
      <c r="G286" s="750"/>
      <c r="H286" s="750"/>
      <c r="I286" s="750"/>
      <c r="J286" s="750"/>
      <c r="K286" s="750"/>
      <c r="M286" s="750"/>
    </row>
    <row r="287" spans="1:13">
      <c r="A287" s="750"/>
      <c r="B287" s="750"/>
      <c r="C287" s="750"/>
      <c r="D287" s="750"/>
      <c r="E287" s="750"/>
      <c r="F287" s="750"/>
      <c r="G287" s="750"/>
      <c r="H287" s="750"/>
      <c r="I287" s="750"/>
      <c r="J287" s="750"/>
      <c r="K287" s="750"/>
      <c r="M287" s="750"/>
    </row>
    <row r="288" spans="1:13">
      <c r="A288" s="750"/>
      <c r="B288" s="750"/>
      <c r="C288" s="750"/>
      <c r="D288" s="750"/>
      <c r="E288" s="750"/>
      <c r="F288" s="750"/>
      <c r="G288" s="750"/>
      <c r="H288" s="750"/>
      <c r="I288" s="750"/>
      <c r="J288" s="750"/>
      <c r="K288" s="750"/>
      <c r="M288" s="750"/>
    </row>
    <row r="289" spans="1:13">
      <c r="A289" s="750"/>
      <c r="B289" s="750"/>
      <c r="C289" s="750"/>
      <c r="D289" s="750"/>
      <c r="E289" s="750"/>
      <c r="F289" s="750"/>
      <c r="G289" s="750"/>
      <c r="H289" s="750"/>
      <c r="I289" s="750"/>
      <c r="J289" s="750"/>
      <c r="K289" s="750"/>
      <c r="M289" s="750"/>
    </row>
    <row r="290" spans="1:13">
      <c r="A290" s="750"/>
      <c r="B290" s="750"/>
      <c r="C290" s="750"/>
      <c r="D290" s="750"/>
      <c r="E290" s="750"/>
      <c r="F290" s="750"/>
      <c r="G290" s="750"/>
      <c r="H290" s="750"/>
      <c r="I290" s="750"/>
      <c r="J290" s="750"/>
      <c r="K290" s="750"/>
      <c r="M290" s="750"/>
    </row>
    <row r="291" spans="1:13">
      <c r="A291" s="750"/>
      <c r="B291" s="750"/>
      <c r="C291" s="750"/>
      <c r="D291" s="750"/>
      <c r="E291" s="750"/>
      <c r="F291" s="750"/>
      <c r="G291" s="750"/>
      <c r="H291" s="750"/>
      <c r="I291" s="750"/>
      <c r="J291" s="750"/>
      <c r="K291" s="750"/>
      <c r="M291" s="750"/>
    </row>
    <row r="292" spans="1:13">
      <c r="A292" s="750"/>
      <c r="B292" s="750"/>
      <c r="C292" s="750"/>
      <c r="D292" s="750"/>
      <c r="E292" s="750"/>
      <c r="F292" s="750"/>
      <c r="G292" s="750"/>
      <c r="H292" s="750"/>
      <c r="I292" s="750"/>
      <c r="J292" s="750"/>
      <c r="K292" s="750"/>
      <c r="M292" s="750"/>
    </row>
    <row r="293" spans="1:13">
      <c r="A293" s="750"/>
      <c r="B293" s="750"/>
      <c r="C293" s="750"/>
      <c r="D293" s="750"/>
      <c r="E293" s="750"/>
      <c r="F293" s="750"/>
      <c r="G293" s="750"/>
      <c r="H293" s="750"/>
      <c r="I293" s="750"/>
      <c r="J293" s="750"/>
      <c r="K293" s="750"/>
      <c r="M293" s="750"/>
    </row>
    <row r="294" spans="1:13">
      <c r="A294" s="750"/>
      <c r="B294" s="750"/>
      <c r="C294" s="750"/>
      <c r="D294" s="750"/>
      <c r="E294" s="750"/>
      <c r="F294" s="750"/>
      <c r="G294" s="750"/>
      <c r="H294" s="750"/>
      <c r="I294" s="750"/>
      <c r="J294" s="750"/>
      <c r="K294" s="750"/>
      <c r="M294" s="750"/>
    </row>
    <row r="295" spans="1:13">
      <c r="A295" s="750"/>
      <c r="B295" s="750"/>
      <c r="C295" s="750"/>
      <c r="D295" s="750"/>
      <c r="E295" s="750"/>
      <c r="F295" s="750"/>
      <c r="G295" s="750"/>
      <c r="H295" s="750"/>
      <c r="I295" s="750"/>
      <c r="J295" s="750"/>
      <c r="K295" s="750"/>
      <c r="M295" s="750"/>
    </row>
    <row r="296" spans="1:13">
      <c r="A296" s="750"/>
      <c r="B296" s="750"/>
      <c r="C296" s="750"/>
      <c r="D296" s="750"/>
      <c r="E296" s="750"/>
      <c r="F296" s="750"/>
      <c r="G296" s="750"/>
      <c r="H296" s="750"/>
      <c r="I296" s="750"/>
      <c r="J296" s="750"/>
      <c r="K296" s="750"/>
      <c r="M296" s="750"/>
    </row>
    <row r="297" spans="1:13">
      <c r="A297" s="750"/>
      <c r="B297" s="750"/>
      <c r="C297" s="750"/>
      <c r="D297" s="750"/>
      <c r="E297" s="750"/>
      <c r="F297" s="750"/>
      <c r="G297" s="750"/>
      <c r="H297" s="750"/>
      <c r="I297" s="750"/>
      <c r="J297" s="750"/>
      <c r="K297" s="750"/>
      <c r="M297" s="750"/>
    </row>
    <row r="298" spans="1:13">
      <c r="A298" s="750"/>
      <c r="B298" s="750"/>
      <c r="C298" s="750"/>
      <c r="D298" s="750"/>
      <c r="E298" s="750"/>
      <c r="F298" s="750"/>
      <c r="G298" s="750"/>
      <c r="H298" s="750"/>
      <c r="I298" s="750"/>
      <c r="J298" s="750"/>
      <c r="K298" s="750"/>
      <c r="M298" s="750"/>
    </row>
    <row r="299" spans="1:13">
      <c r="A299" s="750"/>
      <c r="B299" s="750"/>
      <c r="C299" s="750"/>
      <c r="D299" s="750"/>
      <c r="E299" s="750"/>
      <c r="F299" s="750"/>
      <c r="G299" s="750"/>
      <c r="H299" s="750"/>
      <c r="I299" s="750"/>
      <c r="J299" s="750"/>
      <c r="K299" s="750"/>
      <c r="M299" s="750"/>
    </row>
    <row r="300" spans="1:13">
      <c r="A300" s="750"/>
      <c r="B300" s="750"/>
      <c r="C300" s="750"/>
      <c r="D300" s="750"/>
      <c r="E300" s="750"/>
      <c r="F300" s="750"/>
      <c r="G300" s="750"/>
      <c r="H300" s="750"/>
      <c r="I300" s="750"/>
      <c r="J300" s="750"/>
      <c r="K300" s="750"/>
      <c r="M300" s="750"/>
    </row>
    <row r="301" spans="1:13">
      <c r="A301" s="750"/>
      <c r="B301" s="750"/>
      <c r="C301" s="750"/>
      <c r="D301" s="750"/>
      <c r="E301" s="750"/>
      <c r="F301" s="750"/>
      <c r="G301" s="750"/>
      <c r="H301" s="750"/>
      <c r="I301" s="750"/>
      <c r="J301" s="750"/>
      <c r="K301" s="750"/>
      <c r="M301" s="750"/>
    </row>
    <row r="302" spans="1:13">
      <c r="A302" s="750"/>
      <c r="B302" s="750"/>
      <c r="C302" s="750"/>
      <c r="D302" s="750"/>
      <c r="E302" s="750"/>
      <c r="F302" s="750"/>
      <c r="G302" s="750"/>
      <c r="H302" s="750"/>
      <c r="I302" s="750"/>
      <c r="J302" s="750"/>
      <c r="K302" s="750"/>
      <c r="M302" s="750"/>
    </row>
    <row r="303" spans="1:13">
      <c r="A303" s="750"/>
      <c r="B303" s="750"/>
      <c r="C303" s="750"/>
      <c r="D303" s="750"/>
      <c r="E303" s="750"/>
      <c r="F303" s="750"/>
      <c r="G303" s="750"/>
      <c r="H303" s="750"/>
      <c r="I303" s="750"/>
      <c r="J303" s="750"/>
      <c r="K303" s="750"/>
      <c r="M303" s="750"/>
    </row>
    <row r="304" spans="1:13">
      <c r="A304" s="750"/>
      <c r="B304" s="750"/>
      <c r="C304" s="750"/>
      <c r="D304" s="750"/>
      <c r="E304" s="750"/>
      <c r="F304" s="750"/>
      <c r="G304" s="750"/>
      <c r="H304" s="750"/>
      <c r="I304" s="750"/>
      <c r="J304" s="750"/>
      <c r="K304" s="750"/>
      <c r="M304" s="750"/>
    </row>
    <row r="305" spans="1:13">
      <c r="A305" s="750"/>
      <c r="B305" s="750"/>
      <c r="C305" s="750"/>
      <c r="D305" s="750"/>
      <c r="E305" s="750"/>
      <c r="F305" s="750"/>
      <c r="G305" s="750"/>
      <c r="H305" s="750"/>
      <c r="I305" s="750"/>
      <c r="J305" s="750"/>
      <c r="K305" s="750"/>
      <c r="M305" s="750"/>
    </row>
    <row r="306" spans="1:13">
      <c r="A306" s="750"/>
      <c r="B306" s="750"/>
      <c r="C306" s="750"/>
      <c r="D306" s="750"/>
      <c r="E306" s="750"/>
      <c r="F306" s="750"/>
      <c r="G306" s="750"/>
      <c r="H306" s="750"/>
      <c r="I306" s="750"/>
      <c r="J306" s="750"/>
      <c r="K306" s="750"/>
      <c r="M306" s="750"/>
    </row>
    <row r="307" spans="1:13">
      <c r="A307" s="750"/>
      <c r="B307" s="750"/>
      <c r="C307" s="750"/>
      <c r="D307" s="750"/>
      <c r="E307" s="750"/>
      <c r="F307" s="750"/>
      <c r="G307" s="750"/>
      <c r="H307" s="750"/>
      <c r="I307" s="750"/>
      <c r="J307" s="750"/>
      <c r="K307" s="750"/>
      <c r="M307" s="750"/>
    </row>
    <row r="308" spans="1:13">
      <c r="A308" s="750"/>
      <c r="B308" s="750"/>
      <c r="C308" s="750"/>
      <c r="D308" s="750"/>
      <c r="E308" s="750"/>
      <c r="F308" s="750"/>
      <c r="G308" s="750"/>
      <c r="H308" s="750"/>
      <c r="I308" s="750"/>
      <c r="J308" s="750"/>
      <c r="K308" s="750"/>
      <c r="M308" s="750"/>
    </row>
    <row r="309" spans="1:13">
      <c r="A309" s="750"/>
      <c r="B309" s="750"/>
      <c r="C309" s="750"/>
      <c r="D309" s="750"/>
      <c r="E309" s="750"/>
      <c r="F309" s="750"/>
      <c r="G309" s="750"/>
      <c r="H309" s="750"/>
      <c r="I309" s="750"/>
      <c r="J309" s="750"/>
      <c r="K309" s="750"/>
      <c r="M309" s="750"/>
    </row>
    <row r="310" spans="1:13">
      <c r="A310" s="750"/>
      <c r="B310" s="750"/>
      <c r="C310" s="750"/>
      <c r="D310" s="750"/>
      <c r="E310" s="750"/>
      <c r="F310" s="750"/>
      <c r="G310" s="750"/>
      <c r="H310" s="750"/>
      <c r="I310" s="750"/>
      <c r="J310" s="750"/>
      <c r="K310" s="750"/>
      <c r="M310" s="750"/>
    </row>
    <row r="311" spans="1:13">
      <c r="A311" s="750"/>
      <c r="B311" s="750"/>
      <c r="C311" s="750"/>
      <c r="D311" s="750"/>
      <c r="E311" s="750"/>
      <c r="F311" s="750"/>
      <c r="G311" s="750"/>
      <c r="H311" s="750"/>
      <c r="I311" s="750"/>
      <c r="J311" s="750"/>
      <c r="K311" s="750"/>
      <c r="M311" s="750"/>
    </row>
    <row r="312" spans="1:13">
      <c r="A312" s="750"/>
      <c r="B312" s="750"/>
      <c r="C312" s="750"/>
      <c r="D312" s="750"/>
      <c r="E312" s="750"/>
      <c r="F312" s="750"/>
      <c r="G312" s="750"/>
      <c r="H312" s="750"/>
      <c r="I312" s="750"/>
      <c r="J312" s="750"/>
      <c r="K312" s="750"/>
      <c r="M312" s="750"/>
    </row>
    <row r="313" spans="1:13">
      <c r="A313" s="750"/>
      <c r="B313" s="750"/>
      <c r="C313" s="750"/>
      <c r="D313" s="750"/>
      <c r="E313" s="750"/>
      <c r="F313" s="750"/>
      <c r="G313" s="750"/>
      <c r="H313" s="750"/>
      <c r="I313" s="750"/>
      <c r="J313" s="750"/>
      <c r="K313" s="750"/>
      <c r="M313" s="750"/>
    </row>
    <row r="314" spans="1:13">
      <c r="A314" s="750"/>
      <c r="B314" s="750"/>
      <c r="C314" s="750"/>
      <c r="D314" s="750"/>
      <c r="E314" s="750"/>
      <c r="F314" s="750"/>
      <c r="G314" s="750"/>
      <c r="H314" s="750"/>
      <c r="I314" s="750"/>
      <c r="J314" s="750"/>
      <c r="K314" s="750"/>
      <c r="M314" s="750"/>
    </row>
    <row r="315" spans="1:13">
      <c r="A315" s="750"/>
      <c r="B315" s="750"/>
      <c r="C315" s="750"/>
      <c r="D315" s="750"/>
      <c r="E315" s="750"/>
      <c r="F315" s="750"/>
      <c r="G315" s="750"/>
      <c r="H315" s="750"/>
      <c r="I315" s="750"/>
      <c r="J315" s="750"/>
      <c r="K315" s="750"/>
      <c r="M315" s="750"/>
    </row>
    <row r="316" spans="1:13">
      <c r="A316" s="750"/>
      <c r="B316" s="750"/>
      <c r="C316" s="750"/>
      <c r="D316" s="750"/>
      <c r="E316" s="750"/>
      <c r="F316" s="750"/>
      <c r="G316" s="750"/>
      <c r="H316" s="750"/>
      <c r="I316" s="750"/>
      <c r="J316" s="750"/>
      <c r="K316" s="750"/>
      <c r="M316" s="750"/>
    </row>
    <row r="317" spans="1:13">
      <c r="A317" s="750"/>
      <c r="B317" s="750"/>
      <c r="C317" s="750"/>
      <c r="D317" s="750"/>
      <c r="E317" s="750"/>
      <c r="F317" s="750"/>
      <c r="G317" s="750"/>
      <c r="H317" s="750"/>
      <c r="I317" s="750"/>
      <c r="J317" s="750"/>
      <c r="K317" s="750"/>
      <c r="M317" s="750"/>
    </row>
    <row r="318" spans="1:13">
      <c r="A318" s="750"/>
      <c r="B318" s="750"/>
      <c r="C318" s="750"/>
      <c r="D318" s="750"/>
      <c r="E318" s="750"/>
      <c r="F318" s="750"/>
      <c r="G318" s="750"/>
      <c r="H318" s="750"/>
      <c r="I318" s="750"/>
      <c r="J318" s="750"/>
      <c r="K318" s="750"/>
      <c r="M318" s="750"/>
    </row>
    <row r="319" spans="1:13">
      <c r="A319" s="750"/>
      <c r="B319" s="750"/>
      <c r="C319" s="750"/>
      <c r="D319" s="750"/>
      <c r="E319" s="750"/>
      <c r="F319" s="750"/>
      <c r="G319" s="750"/>
      <c r="H319" s="750"/>
      <c r="I319" s="750"/>
      <c r="J319" s="750"/>
      <c r="K319" s="750"/>
      <c r="M319" s="750"/>
    </row>
    <row r="320" spans="1:13">
      <c r="A320" s="750"/>
      <c r="B320" s="750"/>
      <c r="C320" s="750"/>
      <c r="D320" s="750"/>
      <c r="E320" s="750"/>
      <c r="F320" s="750"/>
      <c r="G320" s="750"/>
      <c r="H320" s="750"/>
      <c r="I320" s="750"/>
      <c r="J320" s="750"/>
      <c r="K320" s="750"/>
      <c r="M320" s="750"/>
    </row>
    <row r="321" spans="1:13">
      <c r="A321" s="750"/>
      <c r="B321" s="750"/>
      <c r="C321" s="750"/>
      <c r="D321" s="750"/>
      <c r="E321" s="750"/>
      <c r="F321" s="750"/>
      <c r="G321" s="750"/>
      <c r="H321" s="750"/>
      <c r="I321" s="750"/>
      <c r="J321" s="750"/>
      <c r="K321" s="750"/>
      <c r="M321" s="750"/>
    </row>
    <row r="322" spans="1:13">
      <c r="A322" s="750"/>
      <c r="B322" s="750"/>
      <c r="C322" s="750"/>
      <c r="D322" s="750"/>
      <c r="E322" s="750"/>
      <c r="F322" s="750"/>
      <c r="G322" s="750"/>
      <c r="H322" s="750"/>
      <c r="I322" s="750"/>
      <c r="J322" s="750"/>
      <c r="K322" s="750"/>
      <c r="M322" s="750"/>
    </row>
    <row r="323" spans="1:13">
      <c r="A323" s="750"/>
      <c r="B323" s="750"/>
      <c r="C323" s="750"/>
      <c r="D323" s="750"/>
      <c r="E323" s="750"/>
      <c r="F323" s="750"/>
      <c r="G323" s="750"/>
      <c r="H323" s="750"/>
      <c r="I323" s="750"/>
      <c r="J323" s="750"/>
      <c r="K323" s="750"/>
      <c r="M323" s="750"/>
    </row>
    <row r="324" spans="1:13">
      <c r="A324" s="750"/>
      <c r="B324" s="750"/>
      <c r="C324" s="750"/>
      <c r="D324" s="750"/>
      <c r="E324" s="750"/>
      <c r="F324" s="750"/>
      <c r="G324" s="750"/>
      <c r="H324" s="750"/>
      <c r="I324" s="750"/>
      <c r="J324" s="750"/>
      <c r="K324" s="750"/>
      <c r="M324" s="750"/>
    </row>
    <row r="325" spans="1:13">
      <c r="A325" s="750"/>
      <c r="B325" s="750"/>
      <c r="C325" s="750"/>
      <c r="D325" s="750"/>
      <c r="E325" s="750"/>
      <c r="F325" s="750"/>
      <c r="G325" s="750"/>
      <c r="H325" s="750"/>
      <c r="I325" s="750"/>
      <c r="J325" s="750"/>
      <c r="K325" s="750"/>
      <c r="M325" s="750"/>
    </row>
    <row r="326" spans="1:13">
      <c r="A326" s="750"/>
      <c r="B326" s="750"/>
      <c r="C326" s="750"/>
      <c r="D326" s="750"/>
      <c r="E326" s="750"/>
      <c r="F326" s="750"/>
      <c r="G326" s="750"/>
      <c r="H326" s="750"/>
      <c r="I326" s="750"/>
      <c r="J326" s="750"/>
      <c r="K326" s="750"/>
      <c r="M326" s="750"/>
    </row>
    <row r="327" spans="1:13">
      <c r="A327" s="750"/>
      <c r="B327" s="750"/>
      <c r="C327" s="750"/>
      <c r="D327" s="750"/>
      <c r="E327" s="750"/>
      <c r="F327" s="750"/>
      <c r="G327" s="750"/>
      <c r="H327" s="750"/>
      <c r="I327" s="750"/>
      <c r="J327" s="750"/>
      <c r="K327" s="750"/>
      <c r="M327" s="750"/>
    </row>
    <row r="328" spans="1:13">
      <c r="A328" s="750"/>
      <c r="B328" s="750"/>
      <c r="C328" s="750"/>
      <c r="D328" s="750"/>
      <c r="E328" s="750"/>
      <c r="F328" s="750"/>
      <c r="G328" s="750"/>
      <c r="H328" s="750"/>
      <c r="I328" s="750"/>
      <c r="J328" s="750"/>
      <c r="K328" s="750"/>
      <c r="M328" s="750"/>
    </row>
  </sheetData>
  <mergeCells count="33">
    <mergeCell ref="B8:C8"/>
    <mergeCell ref="H8:K8"/>
    <mergeCell ref="B3:K3"/>
    <mergeCell ref="B5:C5"/>
    <mergeCell ref="B6:C7"/>
    <mergeCell ref="D6:D7"/>
    <mergeCell ref="G7:I7"/>
    <mergeCell ref="J10:K10"/>
    <mergeCell ref="D11:G12"/>
    <mergeCell ref="H12:I12"/>
    <mergeCell ref="J12:K12"/>
    <mergeCell ref="B13:C14"/>
    <mergeCell ref="F13:F14"/>
    <mergeCell ref="G13:G14"/>
    <mergeCell ref="B9:C10"/>
    <mergeCell ref="D9:D10"/>
    <mergeCell ref="E9:E10"/>
    <mergeCell ref="F9:F10"/>
    <mergeCell ref="G9:G10"/>
    <mergeCell ref="H10:I10"/>
    <mergeCell ref="B15:D16"/>
    <mergeCell ref="E15:K16"/>
    <mergeCell ref="C17:F17"/>
    <mergeCell ref="I52:J52"/>
    <mergeCell ref="A65:C65"/>
    <mergeCell ref="D65:G65"/>
    <mergeCell ref="H65:I65"/>
    <mergeCell ref="A66:C66"/>
    <mergeCell ref="D66:G67"/>
    <mergeCell ref="H66:I66"/>
    <mergeCell ref="J66:K67"/>
    <mergeCell ref="A67:C67"/>
    <mergeCell ref="H67:I67"/>
  </mergeCells>
  <printOptions horizontalCentered="1"/>
  <pageMargins left="0.5" right="0" top="0.25" bottom="0" header="0.25" footer="0.25"/>
  <pageSetup paperSize="9" scale="70" orientation="portrait" horizontalDpi="4294967293" vertic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129"/>
  <sheetViews>
    <sheetView topLeftCell="N9" zoomScale="81" workbookViewId="0">
      <selection activeCell="T11" sqref="T11"/>
    </sheetView>
  </sheetViews>
  <sheetFormatPr defaultRowHeight="15"/>
  <cols>
    <col min="1" max="1" width="19.7109375" style="66" customWidth="1"/>
    <col min="2" max="2" width="17.42578125" style="66" customWidth="1"/>
    <col min="3" max="3" width="15.28515625" style="66" customWidth="1"/>
    <col min="4" max="4" width="13" style="66" customWidth="1"/>
    <col min="5" max="5" width="11.140625" style="66" customWidth="1"/>
    <col min="6" max="7" width="17.140625" style="66" customWidth="1"/>
    <col min="8" max="9" width="9.140625" style="66"/>
    <col min="10" max="10" width="18.5703125" style="66" customWidth="1"/>
    <col min="11" max="11" width="15.42578125" style="66" customWidth="1"/>
    <col min="12" max="12" width="15.28515625" style="66" customWidth="1"/>
    <col min="13" max="13" width="10.7109375" style="66" customWidth="1"/>
    <col min="14" max="14" width="9.28515625" style="66" bestFit="1" customWidth="1"/>
    <col min="15" max="15" width="10.5703125" style="66" bestFit="1" customWidth="1"/>
    <col min="16" max="16" width="10.5703125" style="66" customWidth="1"/>
    <col min="17" max="17" width="13" style="66" customWidth="1"/>
    <col min="18" max="19" width="9.140625" style="66"/>
    <col min="20" max="20" width="16" style="66" customWidth="1"/>
    <col min="21" max="23" width="9.140625" style="66"/>
    <col min="24" max="24" width="20.5703125" style="66" customWidth="1"/>
    <col min="25" max="16384" width="9.140625" style="66"/>
  </cols>
  <sheetData>
    <row r="1" spans="1:21" ht="15" customHeight="1">
      <c r="A1" s="1" t="s">
        <v>145</v>
      </c>
      <c r="H1" s="1" t="s">
        <v>121</v>
      </c>
      <c r="I1" s="1149" t="s">
        <v>122</v>
      </c>
      <c r="J1" s="1149" t="s">
        <v>44</v>
      </c>
      <c r="K1" s="1147" t="s">
        <v>96</v>
      </c>
      <c r="L1" s="1147" t="s">
        <v>97</v>
      </c>
      <c r="M1" s="1147" t="s">
        <v>123</v>
      </c>
      <c r="N1" s="1147" t="s">
        <v>99</v>
      </c>
      <c r="O1" s="1147" t="s">
        <v>100</v>
      </c>
      <c r="P1" s="1147" t="s">
        <v>101</v>
      </c>
      <c r="Q1" s="1147" t="s">
        <v>124</v>
      </c>
      <c r="R1" s="1147" t="s">
        <v>125</v>
      </c>
      <c r="S1" s="1145" t="s">
        <v>126</v>
      </c>
      <c r="T1" s="1147" t="s">
        <v>127</v>
      </c>
      <c r="U1" s="111" t="s">
        <v>128</v>
      </c>
    </row>
    <row r="2" spans="1:21" ht="15" customHeight="1">
      <c r="A2" s="1"/>
      <c r="D2" s="120" t="s">
        <v>147</v>
      </c>
      <c r="E2" s="68">
        <f>'Optimasi Stage'!H30</f>
        <v>116.69366940000002</v>
      </c>
      <c r="H2" s="1" t="s">
        <v>146</v>
      </c>
      <c r="I2" s="1150"/>
      <c r="J2" s="1150"/>
      <c r="K2" s="1148"/>
      <c r="L2" s="1148"/>
      <c r="M2" s="1148"/>
      <c r="N2" s="1148"/>
      <c r="O2" s="1148"/>
      <c r="P2" s="1148"/>
      <c r="Q2" s="1148"/>
      <c r="R2" s="1148"/>
      <c r="S2" s="1146"/>
      <c r="T2" s="1148"/>
      <c r="U2" s="111">
        <v>200</v>
      </c>
    </row>
    <row r="3" spans="1:21" ht="15" customHeight="1">
      <c r="A3" s="1"/>
      <c r="D3" s="121" t="s">
        <v>84</v>
      </c>
      <c r="E3" s="121">
        <v>200</v>
      </c>
      <c r="I3" s="61">
        <v>2000</v>
      </c>
      <c r="J3" s="63">
        <f t="shared" ref="J3:J15" si="0">((-0.2+(SQRT(0.04-3.2*((I3/E$5)-1))))/1.6)*$E$4</f>
        <v>1918.8276421907619</v>
      </c>
      <c r="K3" s="63">
        <f>J3-(('Optimasi Stage'!$M$5-'Optimasi Stage'!$M$18)*'Optimasi Stage'!$C$25)</f>
        <v>906.07309034476179</v>
      </c>
      <c r="L3" s="63">
        <f>'Optimasi Stage'!$M$18-('Frekuensi dulu'!K3/'Optimasi Stage'!$C$25)</f>
        <v>2025.857292890174</v>
      </c>
      <c r="M3" s="63">
        <f>2.083*(100/'Optimasi Stage'!$M$14)^1.85*(I3/34.3)^1.85/('Optimasi Stage'!$F$19^4.8655)</f>
        <v>13.274684942067941</v>
      </c>
      <c r="N3" s="63">
        <f>(M3/1000)*'Optimasi Stage'!$M$18</f>
        <v>54.386384207652355</v>
      </c>
      <c r="O3" s="63">
        <f>'Optimasi Stage'!$F$21/'Optimasi Stage'!$C$25</f>
        <v>548.60281692862213</v>
      </c>
      <c r="P3" s="63">
        <f>L3+N3+O3</f>
        <v>2628.8464940264485</v>
      </c>
      <c r="Q3" s="63">
        <f>P3*'Optimasi Stage'!$C$25</f>
        <v>1150.0545369026715</v>
      </c>
      <c r="R3" s="63">
        <f>K3+Q3</f>
        <v>2056.1276272474333</v>
      </c>
      <c r="S3" s="60">
        <f>T3*E$3</f>
        <v>3879.9999999999995</v>
      </c>
      <c r="T3" s="62">
        <v>19.399999999999999</v>
      </c>
      <c r="U3" s="123">
        <f>R3-((E$2*T3/808.3141)*U$2)</f>
        <v>1495.9846861902379</v>
      </c>
    </row>
    <row r="4" spans="1:21" ht="15" customHeight="1">
      <c r="A4" s="1"/>
      <c r="D4" s="121" t="s">
        <v>43</v>
      </c>
      <c r="E4" s="68">
        <f>IPR!C2</f>
        <v>2224.4495918367347</v>
      </c>
      <c r="I4" s="61">
        <f>I3+50</f>
        <v>2050</v>
      </c>
      <c r="J4" s="63">
        <f t="shared" si="0"/>
        <v>1910.6403757101396</v>
      </c>
      <c r="K4" s="63">
        <f>J4-(('Optimasi Stage'!$M$5-'Optimasi Stage'!$M$18)*'Optimasi Stage'!$C$25)</f>
        <v>897.88582386413941</v>
      </c>
      <c r="L4" s="63">
        <f>'Optimasi Stage'!$M$18-('Frekuensi dulu'!K4/'Optimasi Stage'!$C$25)</f>
        <v>2044.5721156160685</v>
      </c>
      <c r="M4" s="63">
        <f>2.083*(100/'Optimasi Stage'!$M$14)^1.85*(I4/34.3)^1.85/('Optimasi Stage'!$F$19^4.8655)</f>
        <v>13.895154287692517</v>
      </c>
      <c r="N4" s="63">
        <f>(M4/1000)*'Optimasi Stage'!$M$18</f>
        <v>56.928447116676246</v>
      </c>
      <c r="O4" s="63">
        <f>'Optimasi Stage'!$F$21/'Optimasi Stage'!$C$25</f>
        <v>548.60281692862213</v>
      </c>
      <c r="P4" s="63">
        <f t="shared" ref="P4:P15" si="1">L4+N4+O4</f>
        <v>2650.1033796613665</v>
      </c>
      <c r="Q4" s="63">
        <f>P4*'Optimasi Stage'!$C$25</f>
        <v>1159.3538922740897</v>
      </c>
      <c r="R4" s="63">
        <f t="shared" ref="R4:R15" si="2">K4+Q4</f>
        <v>2057.2397161382291</v>
      </c>
      <c r="S4" s="60">
        <f t="shared" ref="S4:S15" si="3">T4*E$3</f>
        <v>3760</v>
      </c>
      <c r="T4" s="62">
        <v>18.8</v>
      </c>
      <c r="U4" s="123">
        <f t="shared" ref="U4:U15" si="4">R4-((E$2*T4/808.3141)*U$2)</f>
        <v>1514.4207835673387</v>
      </c>
    </row>
    <row r="5" spans="1:21" ht="15" customHeight="1">
      <c r="A5" s="1"/>
      <c r="D5" s="121" t="s">
        <v>89</v>
      </c>
      <c r="E5" s="75">
        <f>'Optimasi Stage'!D41</f>
        <v>8613.093261653652</v>
      </c>
      <c r="I5" s="61">
        <f t="shared" ref="I5:I15" si="5">I4+50</f>
        <v>2100</v>
      </c>
      <c r="J5" s="63">
        <f t="shared" si="0"/>
        <v>1902.4223678771693</v>
      </c>
      <c r="K5" s="63">
        <f>J5-(('Optimasi Stage'!$M$5-'Optimasi Stage'!$M$18)*'Optimasi Stage'!$C$25)</f>
        <v>889.6678160311692</v>
      </c>
      <c r="L5" s="63">
        <f>'Optimasi Stage'!$M$18-('Frekuensi dulu'!K5/'Optimasi Stage'!$C$25)</f>
        <v>2063.3572083106892</v>
      </c>
      <c r="M5" s="63">
        <f>2.083*(100/'Optimasi Stage'!$M$14)^1.85*(I5/34.3)^1.85/('Optimasi Stage'!$F$19^4.8655)</f>
        <v>14.528622037239126</v>
      </c>
      <c r="N5" s="63">
        <f>(M5/1000)*'Optimasi Stage'!$M$18</f>
        <v>59.523764486568702</v>
      </c>
      <c r="O5" s="63">
        <f>'Optimasi Stage'!$F$21/'Optimasi Stage'!$C$25</f>
        <v>548.60281692862213</v>
      </c>
      <c r="P5" s="63">
        <f t="shared" si="1"/>
        <v>2671.4837897258803</v>
      </c>
      <c r="Q5" s="63">
        <f>P5*'Optimasi Stage'!$C$25</f>
        <v>1168.7072864914419</v>
      </c>
      <c r="R5" s="63">
        <f t="shared" si="2"/>
        <v>2058.3751025226111</v>
      </c>
      <c r="S5" s="60">
        <f t="shared" si="3"/>
        <v>3660</v>
      </c>
      <c r="T5" s="62">
        <v>18.3</v>
      </c>
      <c r="U5" s="123">
        <f t="shared" si="4"/>
        <v>1529.9928436903083</v>
      </c>
    </row>
    <row r="6" spans="1:21" ht="15" customHeight="1">
      <c r="A6" s="1"/>
      <c r="D6" s="121" t="s">
        <v>110</v>
      </c>
      <c r="E6" s="121">
        <v>2400</v>
      </c>
      <c r="F6" s="66" t="s">
        <v>41</v>
      </c>
      <c r="I6" s="115">
        <f t="shared" si="5"/>
        <v>2150</v>
      </c>
      <c r="J6" s="63">
        <f t="shared" si="0"/>
        <v>1894.1732697885836</v>
      </c>
      <c r="K6" s="63">
        <f>J6-(('Optimasi Stage'!$M$5-'Optimasi Stage'!$M$18)*'Optimasi Stage'!$C$25)</f>
        <v>881.4187179425835</v>
      </c>
      <c r="L6" s="63">
        <f>'Optimasi Stage'!$M$18-('Frekuensi dulu'!K6/'Optimasi Stage'!$C$25)</f>
        <v>2082.2133685128501</v>
      </c>
      <c r="M6" s="63">
        <f>2.083*(100/'Optimasi Stage'!$M$14)^1.85*(I6/34.3)^1.85/('Optimasi Stage'!$F$19^4.8655)</f>
        <v>15.175041285852476</v>
      </c>
      <c r="N6" s="63">
        <f>(M6/1000)*'Optimasi Stage'!$M$18</f>
        <v>62.17214414813759</v>
      </c>
      <c r="O6" s="63">
        <f>'Optimasi Stage'!$F$21/'Optimasi Stage'!$C$25</f>
        <v>548.60281692862213</v>
      </c>
      <c r="P6" s="116">
        <f t="shared" si="1"/>
        <v>2692.9883295896097</v>
      </c>
      <c r="Q6" s="63">
        <f>P6*'Optimasi Stage'!$C$25</f>
        <v>1178.1149843887833</v>
      </c>
      <c r="R6" s="116">
        <f t="shared" si="2"/>
        <v>2059.5337023313668</v>
      </c>
      <c r="S6" s="117">
        <f t="shared" si="3"/>
        <v>3579.9999999999995</v>
      </c>
      <c r="T6" s="118">
        <v>17.899999999999999</v>
      </c>
      <c r="U6" s="124">
        <f t="shared" si="4"/>
        <v>1542.7007824899338</v>
      </c>
    </row>
    <row r="7" spans="1:21" ht="15" customHeight="1">
      <c r="A7" s="1"/>
      <c r="D7" s="170" t="s">
        <v>91</v>
      </c>
      <c r="E7" s="68">
        <f>E6/(E4-J11)</f>
        <v>6.4515980984119734</v>
      </c>
      <c r="I7" s="69">
        <f t="shared" si="5"/>
        <v>2200</v>
      </c>
      <c r="J7" s="70">
        <f t="shared" si="0"/>
        <v>1885.8927258908691</v>
      </c>
      <c r="K7" s="70">
        <f>J7-(('Optimasi Stage'!$M$5-'Optimasi Stage'!$M$18)*'Optimasi Stage'!$C$25)</f>
        <v>873.13817404486895</v>
      </c>
      <c r="L7" s="70">
        <f>'Optimasi Stage'!$M$18-('Frekuensi dulu'!K7/'Optimasi Stage'!$C$25)</f>
        <v>2101.141408962797</v>
      </c>
      <c r="M7" s="70">
        <f>2.083*(100/'Optimasi Stage'!$M$14)^1.85*(I7/34.3)^1.85/('Optimasi Stage'!$F$19^4.8655)</f>
        <v>15.834366395993641</v>
      </c>
      <c r="N7" s="70">
        <f>(M7/1000)*'Optimasi Stage'!$M$18</f>
        <v>64.873399124385941</v>
      </c>
      <c r="O7" s="70">
        <f>'Optimasi Stage'!$F$21/'Optimasi Stage'!$C$25</f>
        <v>548.60281692862213</v>
      </c>
      <c r="P7" s="70">
        <f t="shared" si="1"/>
        <v>2714.6176250158051</v>
      </c>
      <c r="Q7" s="70">
        <f>P7*'Optimasi Stage'!$C$25</f>
        <v>1187.5772597218725</v>
      </c>
      <c r="R7" s="70">
        <f t="shared" si="2"/>
        <v>2060.7154337667416</v>
      </c>
      <c r="S7" s="71">
        <f t="shared" si="3"/>
        <v>3460</v>
      </c>
      <c r="T7" s="72">
        <v>17.3</v>
      </c>
      <c r="U7" s="125">
        <f t="shared" si="4"/>
        <v>1561.2065224116136</v>
      </c>
    </row>
    <row r="8" spans="1:21" ht="15" customHeight="1">
      <c r="A8" s="1"/>
      <c r="I8" s="69">
        <f t="shared" si="5"/>
        <v>2250</v>
      </c>
      <c r="J8" s="70">
        <f t="shared" si="0"/>
        <v>1877.5803738014458</v>
      </c>
      <c r="K8" s="70">
        <f>J8-(('Optimasi Stage'!$M$5-'Optimasi Stage'!$M$18)*'Optimasi Stage'!$C$25)</f>
        <v>864.82582195544569</v>
      </c>
      <c r="L8" s="70">
        <f>'Optimasi Stage'!$M$18-('Frekuensi dulu'!K8/'Optimasi Stage'!$C$25)</f>
        <v>2120.1421580109645</v>
      </c>
      <c r="M8" s="70">
        <f>2.083*(100/'Optimasi Stage'!$M$14)^1.85*(I8/34.3)^1.85/('Optimasi Stage'!$F$19^4.8655)</f>
        <v>16.506552934885278</v>
      </c>
      <c r="N8" s="70">
        <f>(M8/1000)*'Optimasi Stage'!$M$18</f>
        <v>67.627347374224982</v>
      </c>
      <c r="O8" s="70">
        <f>'Optimasi Stage'!$F$21/'Optimasi Stage'!$C$25</f>
        <v>548.60281692862213</v>
      </c>
      <c r="P8" s="70">
        <f t="shared" si="1"/>
        <v>2736.3723223138113</v>
      </c>
      <c r="Q8" s="70">
        <f>P8*'Optimasi Stage'!$C$25</f>
        <v>1197.0943952348694</v>
      </c>
      <c r="R8" s="70">
        <f t="shared" si="2"/>
        <v>2061.9202171903153</v>
      </c>
      <c r="S8" s="71">
        <f t="shared" si="3"/>
        <v>3360</v>
      </c>
      <c r="T8" s="72">
        <v>16.8</v>
      </c>
      <c r="U8" s="125">
        <f t="shared" si="4"/>
        <v>1576.8479795737749</v>
      </c>
    </row>
    <row r="9" spans="1:21" ht="15" customHeight="1">
      <c r="A9" s="1151" t="s">
        <v>129</v>
      </c>
      <c r="B9" s="1151" t="s">
        <v>130</v>
      </c>
      <c r="C9" s="1152" t="s">
        <v>131</v>
      </c>
      <c r="D9" s="1152"/>
      <c r="E9" s="1151" t="s">
        <v>132</v>
      </c>
      <c r="F9" s="1151" t="s">
        <v>133</v>
      </c>
      <c r="G9" s="113"/>
      <c r="I9" s="69">
        <f t="shared" si="5"/>
        <v>2300</v>
      </c>
      <c r="J9" s="70">
        <f t="shared" si="0"/>
        <v>1869.235844123612</v>
      </c>
      <c r="K9" s="70">
        <f>J9-(('Optimasi Stage'!$M$5-'Optimasi Stage'!$M$18)*'Optimasi Stage'!$C$25)</f>
        <v>856.48129227761183</v>
      </c>
      <c r="L9" s="70">
        <f>'Optimasi Stage'!$M$18-('Frekuensi dulu'!K9/'Optimasi Stage'!$C$25)</f>
        <v>2139.2164600409815</v>
      </c>
      <c r="M9" s="70">
        <f>2.083*(100/'Optimasi Stage'!$M$14)^1.85*(I9/34.3)^1.85/('Optimasi Stage'!$F$19^4.8655)</f>
        <v>17.191557616379473</v>
      </c>
      <c r="N9" s="70">
        <f>(M9/1000)*'Optimasi Stage'!$M$18</f>
        <v>70.433811554306715</v>
      </c>
      <c r="O9" s="70">
        <f>'Optimasi Stage'!$F$21/'Optimasi Stage'!$C$25</f>
        <v>548.60281692862213</v>
      </c>
      <c r="P9" s="70">
        <f t="shared" si="1"/>
        <v>2758.2530885239103</v>
      </c>
      <c r="Q9" s="70">
        <f>P9*'Optimasi Stage'!$C$25</f>
        <v>1206.6666827412002</v>
      </c>
      <c r="R9" s="70">
        <f t="shared" si="2"/>
        <v>2063.1479750188118</v>
      </c>
      <c r="S9" s="71">
        <f t="shared" si="3"/>
        <v>3240</v>
      </c>
      <c r="T9" s="72">
        <v>16.2</v>
      </c>
      <c r="U9" s="125">
        <f t="shared" si="4"/>
        <v>1595.3997458885765</v>
      </c>
    </row>
    <row r="10" spans="1:21" ht="15" customHeight="1">
      <c r="A10" s="1151"/>
      <c r="B10" s="1151"/>
      <c r="C10" s="111" t="s">
        <v>134</v>
      </c>
      <c r="D10" s="111" t="s">
        <v>135</v>
      </c>
      <c r="E10" s="1151"/>
      <c r="F10" s="1151"/>
      <c r="G10" s="113"/>
      <c r="I10" s="69">
        <f t="shared" si="5"/>
        <v>2350</v>
      </c>
      <c r="J10" s="70">
        <f t="shared" si="0"/>
        <v>1860.8587602549933</v>
      </c>
      <c r="K10" s="70">
        <f>J10-(('Optimasi Stage'!$M$5-'Optimasi Stage'!$M$18)*'Optimasi Stage'!$C$25)</f>
        <v>848.10420840899314</v>
      </c>
      <c r="L10" s="70">
        <f>'Optimasi Stage'!$M$18-('Frekuensi dulu'!K10/'Optimasi Stage'!$C$25)</f>
        <v>2158.3651759075296</v>
      </c>
      <c r="M10" s="70">
        <f>2.083*(100/'Optimasi Stage'!$M$14)^1.85*(I10/34.3)^1.85/('Optimasi Stage'!$F$19^4.8655)</f>
        <v>17.88933824684548</v>
      </c>
      <c r="N10" s="70">
        <f>(M10/1000)*'Optimasi Stage'!$M$18</f>
        <v>73.292618797325929</v>
      </c>
      <c r="O10" s="70">
        <f>'Optimasi Stage'!$F$21/'Optimasi Stage'!$C$25</f>
        <v>548.60281692862213</v>
      </c>
      <c r="P10" s="70">
        <f t="shared" si="1"/>
        <v>2780.2606116334773</v>
      </c>
      <c r="Q10" s="70">
        <f>P10*'Optimasi Stage'!$C$25</f>
        <v>1216.2944232181203</v>
      </c>
      <c r="R10" s="70">
        <f t="shared" si="2"/>
        <v>2064.3986316271134</v>
      </c>
      <c r="S10" s="71">
        <f t="shared" si="3"/>
        <v>3100</v>
      </c>
      <c r="T10" s="72">
        <v>15.5</v>
      </c>
      <c r="U10" s="125">
        <f t="shared" si="4"/>
        <v>1616.8617457309006</v>
      </c>
    </row>
    <row r="11" spans="1:21" ht="15" customHeight="1">
      <c r="A11" s="74">
        <v>60</v>
      </c>
      <c r="B11" s="122">
        <f>0.8*D11</f>
        <v>2080</v>
      </c>
      <c r="C11" s="122">
        <v>1300</v>
      </c>
      <c r="D11" s="122">
        <v>2600</v>
      </c>
      <c r="E11" s="112">
        <v>1320</v>
      </c>
      <c r="F11" s="112">
        <v>20</v>
      </c>
      <c r="G11" s="114"/>
      <c r="I11" s="76">
        <f>I10+50</f>
        <v>2400</v>
      </c>
      <c r="J11" s="77">
        <f t="shared" si="0"/>
        <v>1852.4487381892102</v>
      </c>
      <c r="K11" s="77">
        <f>J11-(('Optimasi Stage'!$M$5-'Optimasi Stage'!$M$18)*'Optimasi Stage'!$C$25)</f>
        <v>839.69418634321005</v>
      </c>
      <c r="L11" s="77">
        <f>'Optimasi Stage'!$M$18-('Frekuensi dulu'!K11/'Optimasi Stage'!$C$25)</f>
        <v>2177.5891833896985</v>
      </c>
      <c r="M11" s="77">
        <f>2.083*(100/'Optimasi Stage'!$M$14)^1.85*(I11/34.3)^1.85/('Optimasi Stage'!$F$19^4.8655)</f>
        <v>18.599853674719085</v>
      </c>
      <c r="N11" s="77">
        <f>(M11/1000)*'Optimasi Stage'!$M$18</f>
        <v>76.20360050532409</v>
      </c>
      <c r="O11" s="77">
        <f>'Optimasi Stage'!$F$21/'Optimasi Stage'!$C$25</f>
        <v>548.60281692862213</v>
      </c>
      <c r="P11" s="77">
        <f t="shared" si="1"/>
        <v>2802.3956008236446</v>
      </c>
      <c r="Q11" s="77">
        <f>P11*'Optimasi Stage'!$C$25</f>
        <v>1225.9779269146231</v>
      </c>
      <c r="R11" s="77">
        <f t="shared" si="2"/>
        <v>2065.6721132578332</v>
      </c>
      <c r="S11" s="78">
        <f t="shared" si="3"/>
        <v>3000</v>
      </c>
      <c r="T11" s="79">
        <v>15</v>
      </c>
      <c r="U11" s="126">
        <f t="shared" si="4"/>
        <v>1632.5719011002079</v>
      </c>
    </row>
    <row r="12" spans="1:21" ht="15" customHeight="1">
      <c r="A12" s="74">
        <v>59</v>
      </c>
      <c r="B12" s="122">
        <f>(A12/A$11)*B$11</f>
        <v>2045.3333333333333</v>
      </c>
      <c r="C12" s="122">
        <f>(A12/A$11)*C$11</f>
        <v>1278.3333333333333</v>
      </c>
      <c r="D12" s="122">
        <f>(A12/A$11)*D$11</f>
        <v>2556.6666666666665</v>
      </c>
      <c r="E12" s="112">
        <f>((A12/A$11)^2)*E$11</f>
        <v>1276.3666666666666</v>
      </c>
      <c r="F12" s="112">
        <f>((A12/A$11)^3)*F$11</f>
        <v>19.016574074074072</v>
      </c>
      <c r="G12" s="114"/>
      <c r="I12" s="69">
        <f t="shared" si="5"/>
        <v>2450</v>
      </c>
      <c r="J12" s="70">
        <f t="shared" si="0"/>
        <v>1844.0053863104756</v>
      </c>
      <c r="K12" s="70">
        <f>J12-(('Optimasi Stage'!$M$5-'Optimasi Stage'!$M$18)*'Optimasi Stage'!$C$25)</f>
        <v>831.25083446447547</v>
      </c>
      <c r="L12" s="70">
        <f>'Optimasi Stage'!$M$18-('Frekuensi dulu'!K12/'Optimasi Stage'!$C$25)</f>
        <v>2196.8893776605037</v>
      </c>
      <c r="M12" s="70">
        <f>2.083*(100/'Optimasi Stage'!$M$14)^1.85*(I12/34.3)^1.85/('Optimasi Stage'!$F$19^4.8655)</f>
        <v>19.32306374339381</v>
      </c>
      <c r="N12" s="70">
        <f>(M12/1000)*'Optimasi Stage'!$M$18</f>
        <v>79.166592156684445</v>
      </c>
      <c r="O12" s="70">
        <f>'Optimasi Stage'!$F$21/'Optimasi Stage'!$C$25</f>
        <v>548.60281692862213</v>
      </c>
      <c r="P12" s="70">
        <f t="shared" si="1"/>
        <v>2824.6587867458102</v>
      </c>
      <c r="Q12" s="70">
        <f>P12*'Optimasi Stage'!$C$25</f>
        <v>1235.7175134724057</v>
      </c>
      <c r="R12" s="70">
        <f t="shared" si="2"/>
        <v>2066.9683479368814</v>
      </c>
      <c r="S12" s="71">
        <f t="shared" si="3"/>
        <v>2900</v>
      </c>
      <c r="T12" s="72">
        <v>14.5</v>
      </c>
      <c r="U12" s="125">
        <f t="shared" si="4"/>
        <v>1648.3048095178435</v>
      </c>
    </row>
    <row r="13" spans="1:21" ht="15" customHeight="1">
      <c r="A13" s="74">
        <v>58</v>
      </c>
      <c r="B13" s="122">
        <f t="shared" ref="B13:B31" si="6">(A13/A$11)*B$11</f>
        <v>2010.6666666666667</v>
      </c>
      <c r="C13" s="122">
        <f t="shared" ref="C13:C31" si="7">(A13/A$11)*C$11</f>
        <v>1256.6666666666667</v>
      </c>
      <c r="D13" s="122">
        <f t="shared" ref="D13:D31" si="8">(A13/A$11)*D$11</f>
        <v>2513.3333333333335</v>
      </c>
      <c r="E13" s="112">
        <f t="shared" ref="E13:E31" si="9">((A13/A$11)^2)*E$11</f>
        <v>1233.4666666666667</v>
      </c>
      <c r="F13" s="112">
        <f t="shared" ref="F13:F31" si="10">((A13/A$11)^3)*F$11</f>
        <v>18.065925925925924</v>
      </c>
      <c r="G13" s="114"/>
      <c r="I13" s="69">
        <f t="shared" si="5"/>
        <v>2500</v>
      </c>
      <c r="J13" s="70">
        <f t="shared" si="0"/>
        <v>1835.5283051808044</v>
      </c>
      <c r="K13" s="70">
        <f>J13-(('Optimasi Stage'!$M$5-'Optimasi Stage'!$M$18)*'Optimasi Stage'!$C$25)</f>
        <v>822.77375333480427</v>
      </c>
      <c r="L13" s="70">
        <f>'Optimasi Stage'!$M$18-('Frekuensi dulu'!K13/'Optimasi Stage'!$C$25)</f>
        <v>2216.2666717732959</v>
      </c>
      <c r="M13" s="70">
        <f>2.083*(100/'Optimasi Stage'!$M$14)^1.85*(I13/34.3)^1.85/('Optimasi Stage'!$F$19^4.8655)</f>
        <v>20.058929247168209</v>
      </c>
      <c r="N13" s="70">
        <f>(M13/1000)*'Optimasi Stage'!$M$18</f>
        <v>82.181433125648155</v>
      </c>
      <c r="O13" s="70">
        <f>'Optimasi Stage'!$F$21/'Optimasi Stage'!$C$25</f>
        <v>548.60281692862213</v>
      </c>
      <c r="P13" s="70">
        <f t="shared" si="1"/>
        <v>2847.0509218275665</v>
      </c>
      <c r="Q13" s="70">
        <f>P13*'Optimasi Stage'!$C$25</f>
        <v>1245.5135120597056</v>
      </c>
      <c r="R13" s="70">
        <f t="shared" si="2"/>
        <v>2068.2872653945096</v>
      </c>
      <c r="S13" s="71">
        <f t="shared" si="3"/>
        <v>2800</v>
      </c>
      <c r="T13" s="72">
        <v>14</v>
      </c>
      <c r="U13" s="125">
        <f t="shared" si="4"/>
        <v>1664.0604007140591</v>
      </c>
    </row>
    <row r="14" spans="1:21" ht="15" customHeight="1">
      <c r="A14" s="74">
        <v>57</v>
      </c>
      <c r="B14" s="122">
        <f t="shared" si="6"/>
        <v>1976</v>
      </c>
      <c r="C14" s="122">
        <f t="shared" si="7"/>
        <v>1235</v>
      </c>
      <c r="D14" s="122">
        <f t="shared" si="8"/>
        <v>2470</v>
      </c>
      <c r="E14" s="112">
        <f t="shared" si="9"/>
        <v>1191.3</v>
      </c>
      <c r="F14" s="112">
        <f t="shared" si="10"/>
        <v>17.147499999999997</v>
      </c>
      <c r="G14" s="114"/>
      <c r="H14" s="1"/>
      <c r="I14" s="61">
        <f t="shared" si="5"/>
        <v>2550</v>
      </c>
      <c r="J14" s="63">
        <f t="shared" si="0"/>
        <v>1827.0170873195102</v>
      </c>
      <c r="K14" s="63">
        <f>J14-(('Optimasi Stage'!$M$5-'Optimasi Stage'!$M$18)*'Optimasi Stage'!$C$25)</f>
        <v>814.26253547351007</v>
      </c>
      <c r="L14" s="63">
        <f>'Optimasi Stage'!$M$18-('Frekuensi dulu'!K14/'Optimasi Stage'!$C$25)</f>
        <v>2235.7219971657923</v>
      </c>
      <c r="M14" s="63">
        <f>2.083*(100/'Optimasi Stage'!$M$14)^1.85*(I14/34.3)^1.85/('Optimasi Stage'!$F$19^4.8655)</f>
        <v>20.807411889993734</v>
      </c>
      <c r="N14" s="63">
        <f>(M14/1000)*'Optimasi Stage'!$M$18</f>
        <v>85.24796651330432</v>
      </c>
      <c r="O14" s="63">
        <f>'Optimasi Stage'!$F$21/'Optimasi Stage'!$C$25</f>
        <v>548.60281692862213</v>
      </c>
      <c r="P14" s="82">
        <f t="shared" si="1"/>
        <v>2869.5727806077184</v>
      </c>
      <c r="Q14" s="63">
        <f>P14*'Optimasi Stage'!$C$25</f>
        <v>1255.3662615178619</v>
      </c>
      <c r="R14" s="82">
        <f t="shared" si="2"/>
        <v>2069.6287969913719</v>
      </c>
      <c r="S14" s="83">
        <f t="shared" si="3"/>
        <v>2600</v>
      </c>
      <c r="T14" s="84">
        <v>13</v>
      </c>
      <c r="U14" s="127">
        <f t="shared" si="4"/>
        <v>1694.2752797880967</v>
      </c>
    </row>
    <row r="15" spans="1:21" ht="15" customHeight="1">
      <c r="A15" s="74">
        <v>56</v>
      </c>
      <c r="B15" s="122">
        <f t="shared" si="6"/>
        <v>1941.3333333333333</v>
      </c>
      <c r="C15" s="122">
        <f t="shared" si="7"/>
        <v>1213.3333333333333</v>
      </c>
      <c r="D15" s="122">
        <f t="shared" si="8"/>
        <v>2426.6666666666665</v>
      </c>
      <c r="E15" s="112">
        <f t="shared" si="9"/>
        <v>1149.8666666666668</v>
      </c>
      <c r="F15" s="112">
        <f t="shared" si="10"/>
        <v>16.260740740740744</v>
      </c>
      <c r="G15" s="114"/>
      <c r="I15" s="181">
        <f t="shared" si="5"/>
        <v>2600</v>
      </c>
      <c r="J15" s="182">
        <f t="shared" si="0"/>
        <v>1818.4713169746481</v>
      </c>
      <c r="K15" s="182">
        <f>J15-(('Optimasi Stage'!$M$5-'Optimasi Stage'!$M$18)*'Optimasi Stage'!$C$25)</f>
        <v>805.71676512864792</v>
      </c>
      <c r="L15" s="182">
        <f>'Optimasi Stage'!$M$18-('Frekuensi dulu'!K15/'Optimasi Stage'!$C$25)</f>
        <v>2255.2563041825279</v>
      </c>
      <c r="M15" s="182">
        <f>2.083*(100/'Optimasi Stage'!$M$14)^1.85*(I15/34.3)^1.85/('Optimasi Stage'!$F$19^4.8655)</f>
        <v>21.568474246792807</v>
      </c>
      <c r="N15" s="182">
        <f>(M15/1000)*'Optimasi Stage'!$M$18</f>
        <v>88.366038989110123</v>
      </c>
      <c r="O15" s="182">
        <f>'Optimasi Stage'!$F$21/'Optimasi Stage'!$C$25</f>
        <v>548.60281692862213</v>
      </c>
      <c r="P15" s="183">
        <f t="shared" si="1"/>
        <v>2892.2251601002599</v>
      </c>
      <c r="Q15" s="182">
        <f>P15*'Optimasi Stage'!$C$25</f>
        <v>1265.2761105205464</v>
      </c>
      <c r="R15" s="183">
        <f t="shared" si="2"/>
        <v>2070.9928756491945</v>
      </c>
      <c r="S15" s="184">
        <f t="shared" si="3"/>
        <v>2500</v>
      </c>
      <c r="T15" s="185">
        <v>12.5</v>
      </c>
      <c r="U15" s="186">
        <f t="shared" si="4"/>
        <v>1710.0760321845066</v>
      </c>
    </row>
    <row r="16" spans="1:21" ht="15" customHeight="1">
      <c r="A16" s="74">
        <v>55</v>
      </c>
      <c r="B16" s="122">
        <f t="shared" si="6"/>
        <v>1906.6666666666665</v>
      </c>
      <c r="C16" s="122">
        <f t="shared" si="7"/>
        <v>1191.6666666666665</v>
      </c>
      <c r="D16" s="122">
        <f t="shared" si="8"/>
        <v>2383.333333333333</v>
      </c>
      <c r="E16" s="112">
        <f t="shared" si="9"/>
        <v>1109.1666666666665</v>
      </c>
      <c r="F16" s="112">
        <f t="shared" si="10"/>
        <v>15.405092592592592</v>
      </c>
      <c r="G16" s="114"/>
      <c r="I16" s="190"/>
      <c r="J16" s="191"/>
      <c r="K16" s="191"/>
      <c r="L16" s="191"/>
      <c r="M16" s="191"/>
      <c r="N16" s="191"/>
      <c r="O16" s="191"/>
      <c r="P16" s="192"/>
      <c r="Q16" s="191"/>
      <c r="R16" s="192"/>
      <c r="S16" s="193"/>
      <c r="T16" s="194"/>
      <c r="U16" s="195"/>
    </row>
    <row r="17" spans="1:21" ht="15.75">
      <c r="A17" s="74">
        <v>54</v>
      </c>
      <c r="B17" s="122">
        <f t="shared" si="6"/>
        <v>1872</v>
      </c>
      <c r="C17" s="122">
        <f t="shared" si="7"/>
        <v>1170</v>
      </c>
      <c r="D17" s="122">
        <f t="shared" si="8"/>
        <v>2340</v>
      </c>
      <c r="E17" s="112">
        <f t="shared" si="9"/>
        <v>1069.2</v>
      </c>
      <c r="F17" s="112">
        <f t="shared" si="10"/>
        <v>14.580000000000002</v>
      </c>
      <c r="G17" s="114"/>
      <c r="J17" s="86"/>
      <c r="K17" s="87"/>
      <c r="L17" s="67"/>
      <c r="M17" s="86"/>
      <c r="N17" s="86"/>
    </row>
    <row r="18" spans="1:21" ht="15" customHeight="1">
      <c r="A18" s="74">
        <v>53</v>
      </c>
      <c r="B18" s="122">
        <f t="shared" si="6"/>
        <v>1837.3333333333333</v>
      </c>
      <c r="C18" s="122">
        <f t="shared" si="7"/>
        <v>1148.3333333333333</v>
      </c>
      <c r="D18" s="122">
        <f t="shared" si="8"/>
        <v>2296.6666666666665</v>
      </c>
      <c r="E18" s="112">
        <f t="shared" si="9"/>
        <v>1029.9666666666667</v>
      </c>
      <c r="F18" s="112">
        <f t="shared" si="10"/>
        <v>13.784907407407406</v>
      </c>
      <c r="G18" s="114"/>
      <c r="H18" s="1" t="s">
        <v>136</v>
      </c>
      <c r="I18" s="1149" t="s">
        <v>122</v>
      </c>
      <c r="J18" s="1149" t="s">
        <v>44</v>
      </c>
      <c r="K18" s="1147" t="s">
        <v>96</v>
      </c>
      <c r="L18" s="1147" t="s">
        <v>97</v>
      </c>
      <c r="M18" s="1147" t="s">
        <v>123</v>
      </c>
      <c r="N18" s="1147" t="s">
        <v>99</v>
      </c>
      <c r="O18" s="1147" t="s">
        <v>100</v>
      </c>
      <c r="P18" s="1147" t="s">
        <v>101</v>
      </c>
      <c r="Q18" s="1147" t="s">
        <v>124</v>
      </c>
      <c r="R18" s="1147" t="s">
        <v>125</v>
      </c>
      <c r="S18" s="1145" t="s">
        <v>126</v>
      </c>
      <c r="T18" s="1147" t="s">
        <v>127</v>
      </c>
      <c r="U18" s="111" t="s">
        <v>128</v>
      </c>
    </row>
    <row r="19" spans="1:21" ht="15" customHeight="1">
      <c r="A19" s="74">
        <v>52</v>
      </c>
      <c r="B19" s="122">
        <f t="shared" si="6"/>
        <v>1802.6666666666667</v>
      </c>
      <c r="C19" s="122">
        <f t="shared" si="7"/>
        <v>1126.6666666666667</v>
      </c>
      <c r="D19" s="122">
        <f t="shared" si="8"/>
        <v>2253.3333333333335</v>
      </c>
      <c r="E19" s="112">
        <f t="shared" si="9"/>
        <v>991.4666666666667</v>
      </c>
      <c r="F19" s="112">
        <f t="shared" si="10"/>
        <v>13.019259259259261</v>
      </c>
      <c r="G19" s="114"/>
      <c r="H19" s="1" t="s">
        <v>146</v>
      </c>
      <c r="I19" s="1150"/>
      <c r="J19" s="1150"/>
      <c r="K19" s="1148"/>
      <c r="L19" s="1148"/>
      <c r="M19" s="1148"/>
      <c r="N19" s="1148"/>
      <c r="O19" s="1148"/>
      <c r="P19" s="1148"/>
      <c r="Q19" s="1148"/>
      <c r="R19" s="1148"/>
      <c r="S19" s="1146"/>
      <c r="T19" s="1148"/>
      <c r="U19" s="111">
        <v>200</v>
      </c>
    </row>
    <row r="20" spans="1:21" ht="15.75">
      <c r="A20" s="74">
        <v>51</v>
      </c>
      <c r="B20" s="122">
        <f t="shared" si="6"/>
        <v>1768</v>
      </c>
      <c r="C20" s="122">
        <f t="shared" si="7"/>
        <v>1105</v>
      </c>
      <c r="D20" s="122">
        <f t="shared" si="8"/>
        <v>2210</v>
      </c>
      <c r="E20" s="112">
        <f t="shared" si="9"/>
        <v>953.69999999999993</v>
      </c>
      <c r="F20" s="112">
        <f t="shared" si="10"/>
        <v>12.282499999999999</v>
      </c>
      <c r="G20" s="114"/>
      <c r="I20" s="61">
        <f>(58/60)*I3</f>
        <v>1933.3333333333333</v>
      </c>
      <c r="J20" s="63">
        <f t="shared" ref="J20:J32" si="11">((-0.2+(SQRT(0.04-3.2*((I20/E$5)-1))))/1.6)*$E$4</f>
        <v>1929.6967685519969</v>
      </c>
      <c r="K20" s="63">
        <f>J20-(('Optimasi Stage'!$M$5-'Optimasi Stage'!$M$18)*'Optimasi Stage'!$C$25)</f>
        <v>916.94221670599677</v>
      </c>
      <c r="L20" s="63">
        <f>'Optimasi Stage'!$M$18-('Frekuensi dulu'!K20/'Optimasi Stage'!$C$25)</f>
        <v>2001.0121539763127</v>
      </c>
      <c r="M20" s="63">
        <f>2.083*(100/'Optimasi Stage'!$M$14)^1.85*(I20/34.3)^1.85/('Optimasi Stage'!$F$19^4.8655)</f>
        <v>12.467695799020186</v>
      </c>
      <c r="N20" s="63">
        <f>(M20/1000)*'Optimasi Stage'!$M$18</f>
        <v>51.080149688585699</v>
      </c>
      <c r="O20" s="63">
        <f>'Optimasi Stage'!$F$21/'Optimasi Stage'!$C$25</f>
        <v>548.60281692862213</v>
      </c>
      <c r="P20" s="63">
        <f>L20+N20+O20</f>
        <v>2600.6951205935202</v>
      </c>
      <c r="Q20" s="63">
        <f>P20*'Optimasi Stage'!$C$25</f>
        <v>1137.7390156996846</v>
      </c>
      <c r="R20" s="63">
        <f>K20+Q20</f>
        <v>2054.6812324056814</v>
      </c>
      <c r="S20" s="60">
        <f>((58/60)^2)*S3</f>
        <v>3625.6444444444437</v>
      </c>
      <c r="T20" s="62">
        <f>S20/$U$19</f>
        <v>18.12822222222222</v>
      </c>
      <c r="U20" s="68">
        <f t="shared" ref="U20:U32" si="12">R20-((E$2*T20/808.3141)*U$2)</f>
        <v>1531.2587730400132</v>
      </c>
    </row>
    <row r="21" spans="1:21" ht="15.75">
      <c r="A21" s="74">
        <v>50</v>
      </c>
      <c r="B21" s="122">
        <f t="shared" si="6"/>
        <v>1733.3333333333335</v>
      </c>
      <c r="C21" s="122">
        <f t="shared" si="7"/>
        <v>1083.3333333333335</v>
      </c>
      <c r="D21" s="122">
        <f t="shared" si="8"/>
        <v>2166.666666666667</v>
      </c>
      <c r="E21" s="112">
        <f t="shared" si="9"/>
        <v>916.66666666666674</v>
      </c>
      <c r="F21" s="112">
        <f t="shared" si="10"/>
        <v>11.574074074074076</v>
      </c>
      <c r="G21" s="114"/>
      <c r="I21" s="61">
        <f t="shared" ref="I21:I32" si="13">(58/60)*I4</f>
        <v>1981.6666666666667</v>
      </c>
      <c r="J21" s="63">
        <f t="shared" si="11"/>
        <v>1921.8220053669395</v>
      </c>
      <c r="K21" s="63">
        <f>J21-(('Optimasi Stage'!$M$5-'Optimasi Stage'!$M$18)*'Optimasi Stage'!$C$25)</f>
        <v>909.06745352093935</v>
      </c>
      <c r="L21" s="63">
        <f>'Optimasi Stage'!$M$18-('Frekuensi dulu'!K21/'Optimasi Stage'!$C$25)</f>
        <v>2019.0126425845142</v>
      </c>
      <c r="M21" s="63">
        <f>2.083*(100/'Optimasi Stage'!$M$14)^1.85*(I21/34.3)^1.85/('Optimasi Stage'!$F$19^4.8655)</f>
        <v>13.0504458294446</v>
      </c>
      <c r="N21" s="63">
        <f>(M21/1000)*'Optimasi Stage'!$M$18</f>
        <v>53.467676563234527</v>
      </c>
      <c r="O21" s="63">
        <f>'Optimasi Stage'!$F$21/'Optimasi Stage'!$C$25</f>
        <v>548.60281692862213</v>
      </c>
      <c r="P21" s="63">
        <f t="shared" ref="P21:P32" si="14">L21+N21+O21</f>
        <v>2621.0831360763705</v>
      </c>
      <c r="Q21" s="63">
        <f>P21*'Optimasi Stage'!$C$25</f>
        <v>1146.6582621287832</v>
      </c>
      <c r="R21" s="63">
        <f t="shared" ref="R21:R32" si="15">K21+Q21</f>
        <v>2055.7257156497226</v>
      </c>
      <c r="S21" s="60">
        <f t="shared" ref="S21:S32" si="16">((58/60)^2)*S4</f>
        <v>3513.5111111111109</v>
      </c>
      <c r="T21" s="62">
        <f t="shared" ref="T21:T32" si="17">S21/$U$19</f>
        <v>17.567555555555554</v>
      </c>
      <c r="U21" s="68">
        <f t="shared" si="12"/>
        <v>1548.4915797695905</v>
      </c>
    </row>
    <row r="22" spans="1:21" ht="15.75">
      <c r="A22" s="196">
        <v>49</v>
      </c>
      <c r="B22" s="122">
        <f t="shared" si="6"/>
        <v>1698.6666666666667</v>
      </c>
      <c r="C22" s="122">
        <f t="shared" si="7"/>
        <v>1061.6666666666667</v>
      </c>
      <c r="D22" s="122">
        <f t="shared" si="8"/>
        <v>2123.3333333333335</v>
      </c>
      <c r="E22" s="112">
        <f t="shared" si="9"/>
        <v>880.36666666666667</v>
      </c>
      <c r="F22" s="112">
        <f t="shared" si="10"/>
        <v>10.893425925925925</v>
      </c>
      <c r="G22" s="114"/>
      <c r="I22" s="61">
        <f t="shared" si="13"/>
        <v>2030</v>
      </c>
      <c r="J22" s="63">
        <f t="shared" si="11"/>
        <v>1913.9189519455506</v>
      </c>
      <c r="K22" s="63">
        <f>J22-(('Optimasi Stage'!$M$5-'Optimasi Stage'!$M$18)*'Optimasi Stage'!$C$25)</f>
        <v>901.16440009955045</v>
      </c>
      <c r="L22" s="63">
        <f>'Optimasi Stage'!$M$18-('Frekuensi dulu'!K22/'Optimasi Stage'!$C$25)</f>
        <v>2037.0777982899781</v>
      </c>
      <c r="M22" s="63">
        <f>2.083*(100/'Optimasi Stage'!$M$14)^1.85*(I22/34.3)^1.85/('Optimasi Stage'!$F$19^4.8655)</f>
        <v>13.645404070209199</v>
      </c>
      <c r="N22" s="63">
        <f>(M22/1000)*'Optimasi Stage'!$M$18</f>
        <v>55.905220475647091</v>
      </c>
      <c r="O22" s="63">
        <f>'Optimasi Stage'!$F$21/'Optimasi Stage'!$C$25</f>
        <v>548.60281692862213</v>
      </c>
      <c r="P22" s="63">
        <f t="shared" si="14"/>
        <v>2641.5858356942472</v>
      </c>
      <c r="Q22" s="63">
        <f>P22*'Optimasi Stage'!$C$25</f>
        <v>1155.6276799962286</v>
      </c>
      <c r="R22" s="63">
        <f t="shared" si="15"/>
        <v>2056.7920800957791</v>
      </c>
      <c r="S22" s="60">
        <f t="shared" si="16"/>
        <v>3420.0666666666666</v>
      </c>
      <c r="T22" s="62">
        <f t="shared" si="17"/>
        <v>17.100333333333332</v>
      </c>
      <c r="U22" s="68">
        <f t="shared" si="12"/>
        <v>1563.0482137869271</v>
      </c>
    </row>
    <row r="23" spans="1:21" ht="15.75">
      <c r="A23" s="196">
        <v>48</v>
      </c>
      <c r="B23" s="122">
        <f t="shared" si="6"/>
        <v>1664</v>
      </c>
      <c r="C23" s="122">
        <f t="shared" si="7"/>
        <v>1040</v>
      </c>
      <c r="D23" s="122">
        <f t="shared" si="8"/>
        <v>2080</v>
      </c>
      <c r="E23" s="112">
        <f t="shared" si="9"/>
        <v>844.80000000000018</v>
      </c>
      <c r="F23" s="112">
        <f t="shared" si="10"/>
        <v>10.240000000000002</v>
      </c>
      <c r="G23" s="114"/>
      <c r="I23" s="61">
        <f t="shared" si="13"/>
        <v>2078.3333333333335</v>
      </c>
      <c r="J23" s="63">
        <f t="shared" si="11"/>
        <v>1905.987301179616</v>
      </c>
      <c r="K23" s="63">
        <f>J23-(('Optimasi Stage'!$M$5-'Optimasi Stage'!$M$18)*'Optimasi Stage'!$C$25)</f>
        <v>893.23274933361586</v>
      </c>
      <c r="L23" s="63">
        <f>'Optimasi Stage'!$M$18-('Frekuensi dulu'!K23/'Optimasi Stage'!$C$25)</f>
        <v>2055.2083230945018</v>
      </c>
      <c r="M23" s="63">
        <f>2.083*(100/'Optimasi Stage'!$M$14)^1.85*(I23/34.3)^1.85/('Optimasi Stage'!$F$19^4.8655)</f>
        <v>14.252526467879225</v>
      </c>
      <c r="N23" s="63">
        <f>(M23/1000)*'Optimasi Stage'!$M$18</f>
        <v>58.392600938901182</v>
      </c>
      <c r="O23" s="63">
        <f>'Optimasi Stage'!$F$21/'Optimasi Stage'!$C$25</f>
        <v>548.60281692862213</v>
      </c>
      <c r="P23" s="116">
        <f t="shared" si="14"/>
        <v>2662.2037409620252</v>
      </c>
      <c r="Q23" s="63">
        <f>P23*'Optimasi Stage'!$C$25</f>
        <v>1164.6474974517239</v>
      </c>
      <c r="R23" s="116">
        <f t="shared" si="15"/>
        <v>2057.8802467853398</v>
      </c>
      <c r="S23" s="60">
        <f t="shared" si="16"/>
        <v>3345.3111111111107</v>
      </c>
      <c r="T23" s="62">
        <f t="shared" si="17"/>
        <v>16.726555555555553</v>
      </c>
      <c r="U23" s="119">
        <f t="shared" si="12"/>
        <v>1574.9285961335117</v>
      </c>
    </row>
    <row r="24" spans="1:21" ht="15.75">
      <c r="A24" s="196">
        <v>47</v>
      </c>
      <c r="B24" s="122">
        <f t="shared" si="6"/>
        <v>1629.3333333333333</v>
      </c>
      <c r="C24" s="122">
        <f t="shared" si="7"/>
        <v>1018.3333333333334</v>
      </c>
      <c r="D24" s="122">
        <f t="shared" si="8"/>
        <v>2036.6666666666667</v>
      </c>
      <c r="E24" s="112">
        <f t="shared" si="9"/>
        <v>809.9666666666667</v>
      </c>
      <c r="F24" s="112">
        <f t="shared" si="10"/>
        <v>9.613240740740741</v>
      </c>
      <c r="G24" s="114"/>
      <c r="I24" s="70">
        <f t="shared" si="13"/>
        <v>2126.6666666666665</v>
      </c>
      <c r="J24" s="70">
        <f t="shared" si="11"/>
        <v>1898.0267403639582</v>
      </c>
      <c r="K24" s="70">
        <f>J24-(('Optimasi Stage'!$M$5-'Optimasi Stage'!$M$18)*'Optimasi Stage'!$C$25)</f>
        <v>885.27218851795806</v>
      </c>
      <c r="L24" s="70">
        <f>'Optimasi Stage'!$M$18-('Frekuensi dulu'!K24/'Optimasi Stage'!$C$25)</f>
        <v>2073.4049317936751</v>
      </c>
      <c r="M24" s="70">
        <f>2.083*(100/'Optimasi Stage'!$M$14)^1.85*(I24/34.3)^1.85/('Optimasi Stage'!$F$19^4.8655)</f>
        <v>14.871770159294107</v>
      </c>
      <c r="N24" s="70">
        <f>(M24/1000)*'Optimasi Stage'!$M$18</f>
        <v>60.929642342627957</v>
      </c>
      <c r="O24" s="70">
        <f>'Optimasi Stage'!$F$21/'Optimasi Stage'!$C$25</f>
        <v>548.60281692862213</v>
      </c>
      <c r="P24" s="70">
        <f t="shared" si="14"/>
        <v>2682.9373910649256</v>
      </c>
      <c r="Q24" s="70">
        <f>P24*'Optimasi Stage'!$C$25</f>
        <v>1173.7179503753068</v>
      </c>
      <c r="R24" s="70">
        <f t="shared" si="15"/>
        <v>2058.9901388932649</v>
      </c>
      <c r="S24" s="71">
        <f t="shared" si="16"/>
        <v>3233.1777777777775</v>
      </c>
      <c r="T24" s="72">
        <f t="shared" si="17"/>
        <v>16.165888888888887</v>
      </c>
      <c r="U24" s="73">
        <f t="shared" si="12"/>
        <v>1592.2268117269732</v>
      </c>
    </row>
    <row r="25" spans="1:21" ht="15.75" customHeight="1">
      <c r="A25" s="196">
        <v>46</v>
      </c>
      <c r="B25" s="122">
        <f t="shared" si="6"/>
        <v>1594.6666666666667</v>
      </c>
      <c r="C25" s="122">
        <f t="shared" si="7"/>
        <v>996.66666666666674</v>
      </c>
      <c r="D25" s="122">
        <f t="shared" si="8"/>
        <v>1993.3333333333335</v>
      </c>
      <c r="E25" s="112">
        <f t="shared" si="9"/>
        <v>775.86666666666679</v>
      </c>
      <c r="F25" s="112">
        <f t="shared" si="10"/>
        <v>9.0125925925925934</v>
      </c>
      <c r="G25" s="114"/>
      <c r="I25" s="71">
        <f t="shared" si="13"/>
        <v>2175</v>
      </c>
      <c r="J25" s="70">
        <f t="shared" si="11"/>
        <v>1890.036951052585</v>
      </c>
      <c r="K25" s="70">
        <f>J25-(('Optimasi Stage'!$M$5-'Optimasi Stage'!$M$18)*'Optimasi Stage'!$C$25)</f>
        <v>877.28239920658484</v>
      </c>
      <c r="L25" s="70">
        <f>'Optimasi Stage'!$M$18-('Frekuensi dulu'!K25/'Optimasi Stage'!$C$25)</f>
        <v>2091.6683523056981</v>
      </c>
      <c r="M25" s="70">
        <f>2.083*(100/'Optimasi Stage'!$M$14)^1.85*(I25/34.3)^1.85/('Optimasi Stage'!$F$19^4.8655)</f>
        <v>15.503093412815454</v>
      </c>
      <c r="N25" s="70">
        <f>(M25/1000)*'Optimasi Stage'!$M$18</f>
        <v>63.516173712304919</v>
      </c>
      <c r="O25" s="70">
        <f>'Optimasi Stage'!$F$21/'Optimasi Stage'!$C$25</f>
        <v>548.60281692862213</v>
      </c>
      <c r="P25" s="70">
        <f t="shared" si="14"/>
        <v>2703.7873429466254</v>
      </c>
      <c r="Q25" s="70">
        <f>P25*'Optimasi Stage'!$C$25</f>
        <v>1182.839282415895</v>
      </c>
      <c r="R25" s="70">
        <f t="shared" si="15"/>
        <v>2060.1216816224796</v>
      </c>
      <c r="S25" s="71">
        <f t="shared" si="16"/>
        <v>3139.7333333333331</v>
      </c>
      <c r="T25" s="72">
        <f t="shared" si="17"/>
        <v>15.698666666666666</v>
      </c>
      <c r="U25" s="73">
        <f t="shared" si="12"/>
        <v>1606.8486240274678</v>
      </c>
    </row>
    <row r="26" spans="1:21" ht="15" customHeight="1">
      <c r="A26" s="196">
        <v>45</v>
      </c>
      <c r="B26" s="122">
        <f t="shared" si="6"/>
        <v>1560</v>
      </c>
      <c r="C26" s="122">
        <f t="shared" si="7"/>
        <v>975</v>
      </c>
      <c r="D26" s="122">
        <f t="shared" si="8"/>
        <v>1950</v>
      </c>
      <c r="E26" s="112">
        <f t="shared" si="9"/>
        <v>742.5</v>
      </c>
      <c r="F26" s="112">
        <f t="shared" si="10"/>
        <v>8.4375</v>
      </c>
      <c r="G26" s="114"/>
      <c r="I26" s="70">
        <f t="shared" si="13"/>
        <v>2223.3333333333335</v>
      </c>
      <c r="J26" s="70">
        <f t="shared" si="11"/>
        <v>1882.0176089100435</v>
      </c>
      <c r="K26" s="70">
        <f>J26-(('Optimasi Stage'!$M$5-'Optimasi Stage'!$M$18)*'Optimasi Stage'!$C$25)</f>
        <v>869.26305706404332</v>
      </c>
      <c r="L26" s="70">
        <f>'Optimasi Stage'!$M$18-('Frekuensi dulu'!K26/'Optimasi Stage'!$C$25)</f>
        <v>2109.9993260111678</v>
      </c>
      <c r="M26" s="70">
        <f>2.083*(100/'Optimasi Stage'!$M$14)^1.85*(I26/34.3)^1.85/('Optimasi Stage'!$F$19^4.8655)</f>
        <v>16.146455573728929</v>
      </c>
      <c r="N26" s="70">
        <f>(M26/1000)*'Optimasi Stage'!$M$18</f>
        <v>66.152028485567428</v>
      </c>
      <c r="O26" s="70">
        <f>'Optimasi Stage'!$F$21/'Optimasi Stage'!$C$25</f>
        <v>548.60281692862213</v>
      </c>
      <c r="P26" s="70">
        <f t="shared" si="14"/>
        <v>2724.7541714253575</v>
      </c>
      <c r="Q26" s="70">
        <f>P26*'Optimasi Stage'!$C$25</f>
        <v>1192.0117450420767</v>
      </c>
      <c r="R26" s="70">
        <f t="shared" si="15"/>
        <v>2061.2748021061198</v>
      </c>
      <c r="S26" s="71">
        <f t="shared" si="16"/>
        <v>3027.6</v>
      </c>
      <c r="T26" s="72">
        <f t="shared" si="17"/>
        <v>15.138</v>
      </c>
      <c r="U26" s="73">
        <f t="shared" si="12"/>
        <v>1624.1900679966443</v>
      </c>
    </row>
    <row r="27" spans="1:21" ht="15" customHeight="1">
      <c r="A27" s="196">
        <v>44</v>
      </c>
      <c r="B27" s="122">
        <f t="shared" si="6"/>
        <v>1525.3333333333333</v>
      </c>
      <c r="C27" s="122">
        <f t="shared" si="7"/>
        <v>953.33333333333326</v>
      </c>
      <c r="D27" s="122">
        <f t="shared" si="8"/>
        <v>1906.6666666666665</v>
      </c>
      <c r="E27" s="112">
        <f t="shared" si="9"/>
        <v>709.86666666666656</v>
      </c>
      <c r="F27" s="112">
        <f t="shared" si="10"/>
        <v>7.8874074074074052</v>
      </c>
      <c r="G27" s="114"/>
      <c r="H27" s="1"/>
      <c r="I27" s="70">
        <f t="shared" si="13"/>
        <v>2271.6666666666665</v>
      </c>
      <c r="J27" s="70">
        <f t="shared" si="11"/>
        <v>1873.9683835577946</v>
      </c>
      <c r="K27" s="70">
        <f>J27-(('Optimasi Stage'!$M$5-'Optimasi Stage'!$M$18)*'Optimasi Stage'!$C$25)</f>
        <v>861.21383171179446</v>
      </c>
      <c r="L27" s="70">
        <f>'Optimasi Stage'!$M$18-('Frekuensi dulu'!K27/'Optimasi Stage'!$C$25)</f>
        <v>2128.3986081042385</v>
      </c>
      <c r="M27" s="70">
        <f>2.083*(100/'Optimasi Stage'!$M$14)^1.85*(I27/34.3)^1.85/('Optimasi Stage'!$F$19^4.8655)</f>
        <v>16.801817013421481</v>
      </c>
      <c r="N27" s="70">
        <f>(M27/1000)*'Optimasi Stage'!$M$18</f>
        <v>68.837044303987796</v>
      </c>
      <c r="O27" s="70">
        <f>'Optimasi Stage'!$F$21/'Optimasi Stage'!$C$25</f>
        <v>548.60281692862213</v>
      </c>
      <c r="P27" s="70">
        <f t="shared" si="14"/>
        <v>2745.838469336848</v>
      </c>
      <c r="Q27" s="70">
        <f>P27*'Optimasi Stage'!$C$25</f>
        <v>1201.2355976046422</v>
      </c>
      <c r="R27" s="70">
        <f t="shared" si="15"/>
        <v>2062.4494293164366</v>
      </c>
      <c r="S27" s="71">
        <f t="shared" si="16"/>
        <v>2896.7777777777778</v>
      </c>
      <c r="T27" s="72">
        <f t="shared" si="17"/>
        <v>14.48388888888889</v>
      </c>
      <c r="U27" s="73">
        <f t="shared" si="12"/>
        <v>1644.2510726067533</v>
      </c>
    </row>
    <row r="28" spans="1:21" ht="15" customHeight="1">
      <c r="A28" s="179">
        <v>43</v>
      </c>
      <c r="B28" s="122">
        <f t="shared" si="6"/>
        <v>1490.6666666666667</v>
      </c>
      <c r="C28" s="122">
        <f t="shared" si="7"/>
        <v>931.66666666666663</v>
      </c>
      <c r="D28" s="122">
        <f t="shared" si="8"/>
        <v>1863.3333333333333</v>
      </c>
      <c r="E28" s="112">
        <f t="shared" si="9"/>
        <v>677.9666666666667</v>
      </c>
      <c r="F28" s="112">
        <f t="shared" si="10"/>
        <v>7.3617592592592596</v>
      </c>
      <c r="G28" s="114"/>
      <c r="I28" s="78">
        <f t="shared" si="13"/>
        <v>2320</v>
      </c>
      <c r="J28" s="77">
        <f t="shared" si="11"/>
        <v>1865.8889384153917</v>
      </c>
      <c r="K28" s="77">
        <f>J28-(('Optimasi Stage'!$M$5-'Optimasi Stage'!$M$18)*'Optimasi Stage'!$C$25)</f>
        <v>853.13438656939161</v>
      </c>
      <c r="L28" s="77">
        <f>'Optimasi Stage'!$M$18-('Frekuensi dulu'!K28/'Optimasi Stage'!$C$25)</f>
        <v>2146.8669679556651</v>
      </c>
      <c r="M28" s="77">
        <f>2.083*(100/'Optimasi Stage'!$M$14)^1.85*(I28/34.3)^1.85/('Optimasi Stage'!$F$19^4.8655)</f>
        <v>17.469139081997735</v>
      </c>
      <c r="N28" s="77">
        <f>(M28/1000)*'Optimasi Stage'!$M$18</f>
        <v>71.571062818944725</v>
      </c>
      <c r="O28" s="77">
        <f>'Optimasi Stage'!$F$21/'Optimasi Stage'!$C$25</f>
        <v>548.60281692862213</v>
      </c>
      <c r="P28" s="77">
        <f t="shared" si="14"/>
        <v>2767.0408477032324</v>
      </c>
      <c r="Q28" s="77">
        <f>P28*'Optimasi Stage'!$C$25</f>
        <v>1210.5111074104809</v>
      </c>
      <c r="R28" s="77">
        <f t="shared" si="15"/>
        <v>2063.6454939798723</v>
      </c>
      <c r="S28" s="78">
        <f t="shared" si="16"/>
        <v>2803.333333333333</v>
      </c>
      <c r="T28" s="79">
        <f t="shared" si="17"/>
        <v>14.016666666666666</v>
      </c>
      <c r="U28" s="80">
        <f t="shared" si="12"/>
        <v>1658.9374068414691</v>
      </c>
    </row>
    <row r="29" spans="1:21" ht="15.75">
      <c r="A29" s="179">
        <v>42</v>
      </c>
      <c r="B29" s="122">
        <f t="shared" si="6"/>
        <v>1456</v>
      </c>
      <c r="C29" s="122">
        <f t="shared" si="7"/>
        <v>909.99999999999989</v>
      </c>
      <c r="D29" s="122">
        <f t="shared" si="8"/>
        <v>1819.9999999999998</v>
      </c>
      <c r="E29" s="112">
        <f t="shared" si="9"/>
        <v>646.79999999999995</v>
      </c>
      <c r="F29" s="112">
        <f t="shared" si="10"/>
        <v>6.8599999999999985</v>
      </c>
      <c r="G29" s="114"/>
      <c r="I29" s="70">
        <f t="shared" si="13"/>
        <v>2368.3333333333335</v>
      </c>
      <c r="J29" s="70">
        <f t="shared" si="11"/>
        <v>1857.7789305362553</v>
      </c>
      <c r="K29" s="70">
        <f>J29-(('Optimasi Stage'!$M$5-'Optimasi Stage'!$M$18)*'Optimasi Stage'!$C$25)</f>
        <v>845.02437869025516</v>
      </c>
      <c r="L29" s="70">
        <f>'Optimasi Stage'!$M$18-('Frekuensi dulu'!K29/'Optimasi Stage'!$C$25)</f>
        <v>2165.4051894881968</v>
      </c>
      <c r="M29" s="70">
        <f>2.083*(100/'Optimasi Stage'!$M$14)^1.85*(I29/34.3)^1.85/('Optimasi Stage'!$F$19^4.8655)</f>
        <v>18.148384064034982</v>
      </c>
      <c r="N29" s="70">
        <f>(M29/1000)*'Optimasi Stage'!$M$18</f>
        <v>74.353929510351321</v>
      </c>
      <c r="O29" s="70">
        <f>'Optimasi Stage'!$F$21/'Optimasi Stage'!$C$25</f>
        <v>548.60281692862213</v>
      </c>
      <c r="P29" s="70">
        <f t="shared" si="14"/>
        <v>2788.3619359271706</v>
      </c>
      <c r="Q29" s="70">
        <f>P29*'Optimasi Stage'!$C$25</f>
        <v>1219.838549807502</v>
      </c>
      <c r="R29" s="70">
        <f t="shared" si="15"/>
        <v>2064.8629284977569</v>
      </c>
      <c r="S29" s="71">
        <f t="shared" si="16"/>
        <v>2709.8888888888887</v>
      </c>
      <c r="T29" s="72">
        <f t="shared" si="17"/>
        <v>13.549444444444443</v>
      </c>
      <c r="U29" s="73">
        <f t="shared" si="12"/>
        <v>1673.6451109306338</v>
      </c>
    </row>
    <row r="30" spans="1:21" ht="15.75">
      <c r="A30" s="74">
        <v>41</v>
      </c>
      <c r="B30" s="122">
        <f t="shared" si="6"/>
        <v>1421.3333333333333</v>
      </c>
      <c r="C30" s="122">
        <f t="shared" si="7"/>
        <v>888.33333333333337</v>
      </c>
      <c r="D30" s="122">
        <f t="shared" si="8"/>
        <v>1776.6666666666667</v>
      </c>
      <c r="E30" s="112">
        <f t="shared" si="9"/>
        <v>616.36666666666667</v>
      </c>
      <c r="F30" s="112">
        <f t="shared" si="10"/>
        <v>6.3815740740740745</v>
      </c>
      <c r="G30" s="114"/>
      <c r="I30" s="70">
        <f t="shared" si="13"/>
        <v>2416.6666666666665</v>
      </c>
      <c r="J30" s="70">
        <f t="shared" si="11"/>
        <v>1849.6380104378134</v>
      </c>
      <c r="K30" s="70">
        <f>J30-(('Optimasi Stage'!$M$5-'Optimasi Stage'!$M$18)*'Optimasi Stage'!$C$25)</f>
        <v>836.88345859181322</v>
      </c>
      <c r="L30" s="70">
        <f>'Optimasi Stage'!$M$18-('Frekuensi dulu'!K30/'Optimasi Stage'!$C$25)</f>
        <v>2184.0140715648472</v>
      </c>
      <c r="M30" s="70">
        <f>2.083*(100/'Optimasi Stage'!$M$14)^1.85*(I30/34.3)^1.85/('Optimasi Stage'!$F$19^4.8655)</f>
        <v>18.83951513720848</v>
      </c>
      <c r="N30" s="70">
        <f>(M30/1000)*'Optimasi Stage'!$M$18</f>
        <v>77.185493517143129</v>
      </c>
      <c r="O30" s="70">
        <f>'Optimasi Stage'!$F$21/'Optimasi Stage'!$C$25</f>
        <v>548.60281692862213</v>
      </c>
      <c r="P30" s="70">
        <f t="shared" si="14"/>
        <v>2809.8023820106127</v>
      </c>
      <c r="Q30" s="70">
        <f>P30*'Optimasi Stage'!$C$25</f>
        <v>1229.2182082803376</v>
      </c>
      <c r="R30" s="70">
        <f t="shared" si="15"/>
        <v>2066.1016668721509</v>
      </c>
      <c r="S30" s="71">
        <f t="shared" si="16"/>
        <v>2616.4444444444443</v>
      </c>
      <c r="T30" s="72">
        <f t="shared" si="17"/>
        <v>13.082222222222221</v>
      </c>
      <c r="U30" s="73">
        <f t="shared" si="12"/>
        <v>1688.3741188763079</v>
      </c>
    </row>
    <row r="31" spans="1:21" ht="15.75">
      <c r="A31" s="74">
        <v>40</v>
      </c>
      <c r="B31" s="122">
        <f t="shared" si="6"/>
        <v>1386.6666666666665</v>
      </c>
      <c r="C31" s="122">
        <f t="shared" si="7"/>
        <v>866.66666666666663</v>
      </c>
      <c r="D31" s="122">
        <f t="shared" si="8"/>
        <v>1733.3333333333333</v>
      </c>
      <c r="E31" s="112">
        <f t="shared" si="9"/>
        <v>586.66666666666663</v>
      </c>
      <c r="F31" s="112">
        <f t="shared" si="10"/>
        <v>5.9259259259259256</v>
      </c>
      <c r="G31" s="114"/>
      <c r="I31" s="61">
        <f t="shared" si="13"/>
        <v>2465</v>
      </c>
      <c r="J31" s="63">
        <f t="shared" si="11"/>
        <v>1841.4658219257681</v>
      </c>
      <c r="K31" s="63">
        <f>J31-(('Optimasi Stage'!$M$5-'Optimasi Stage'!$M$18)*'Optimasi Stage'!$C$25)</f>
        <v>828.71127007976793</v>
      </c>
      <c r="L31" s="63">
        <f>'Optimasi Stage'!$M$18-('Frekuensi dulu'!K31/'Optimasi Stage'!$C$25)</f>
        <v>2202.6944283905964</v>
      </c>
      <c r="M31" s="63">
        <f>2.083*(100/'Optimasi Stage'!$M$14)^1.85*(I31/34.3)^1.85/('Optimasi Stage'!$F$19^4.8655)</f>
        <v>19.542496333547295</v>
      </c>
      <c r="N31" s="63">
        <f>(M31/1000)*'Optimasi Stage'!$M$18</f>
        <v>80.065607478543257</v>
      </c>
      <c r="O31" s="63">
        <f>'Optimasi Stage'!$F$21/'Optimasi Stage'!$C$25</f>
        <v>548.60281692862213</v>
      </c>
      <c r="P31" s="82">
        <f t="shared" si="14"/>
        <v>2831.3628527977617</v>
      </c>
      <c r="Q31" s="63">
        <f>P31*'Optimasi Stage'!$C$25</f>
        <v>1238.6503745566347</v>
      </c>
      <c r="R31" s="82">
        <f t="shared" si="15"/>
        <v>2067.3616446364026</v>
      </c>
      <c r="S31" s="60">
        <f t="shared" si="16"/>
        <v>2429.5555555555557</v>
      </c>
      <c r="T31" s="62">
        <f t="shared" si="17"/>
        <v>12.147777777777778</v>
      </c>
      <c r="U31" s="85">
        <f t="shared" si="12"/>
        <v>1716.6146357831199</v>
      </c>
    </row>
    <row r="32" spans="1:21" ht="15.75">
      <c r="A32" s="88"/>
      <c r="B32" s="89"/>
      <c r="E32" s="89"/>
      <c r="F32" s="89"/>
      <c r="G32" s="89"/>
      <c r="I32" s="181">
        <f t="shared" si="13"/>
        <v>2513.3333333333335</v>
      </c>
      <c r="J32" s="182">
        <f t="shared" si="11"/>
        <v>1833.2620019122401</v>
      </c>
      <c r="K32" s="182">
        <f>J32-(('Optimasi Stage'!$M$5-'Optimasi Stage'!$M$18)*'Optimasi Stage'!$C$25)</f>
        <v>820.50745006623993</v>
      </c>
      <c r="L32" s="182">
        <f>'Optimasi Stage'!$M$18-('Frekuensi dulu'!K32/'Optimasi Stage'!$C$25)</f>
        <v>2221.4470899280832</v>
      </c>
      <c r="M32" s="182">
        <f>2.083*(100/'Optimasi Stage'!$M$14)^1.85*(I32/34.3)^1.85/('Optimasi Stage'!$F$19^4.8655)</f>
        <v>20.257292503103546</v>
      </c>
      <c r="N32" s="182">
        <f>(M32/1000)*'Optimasi Stage'!$M$18</f>
        <v>82.994127385215222</v>
      </c>
      <c r="O32" s="182">
        <f>'Optimasi Stage'!$F$21/'Optimasi Stage'!$C$25</f>
        <v>548.60281692862213</v>
      </c>
      <c r="P32" s="183">
        <f t="shared" si="14"/>
        <v>2853.0440342419206</v>
      </c>
      <c r="Q32" s="182">
        <f>P32*'Optimasi Stage'!$C$25</f>
        <v>1248.135348723793</v>
      </c>
      <c r="R32" s="183">
        <f t="shared" si="15"/>
        <v>2068.6427987900329</v>
      </c>
      <c r="S32" s="187">
        <f t="shared" si="16"/>
        <v>2336.1111111111109</v>
      </c>
      <c r="T32" s="188">
        <f t="shared" si="17"/>
        <v>11.680555555555554</v>
      </c>
      <c r="U32" s="189">
        <f t="shared" si="12"/>
        <v>1731.38605950803</v>
      </c>
    </row>
    <row r="33" spans="1:24" ht="15.75">
      <c r="A33" s="88"/>
      <c r="B33" s="89"/>
      <c r="E33" s="89"/>
      <c r="F33" s="89"/>
      <c r="G33" s="89"/>
      <c r="I33" s="190"/>
      <c r="J33" s="191"/>
      <c r="K33" s="191"/>
      <c r="L33" s="191"/>
      <c r="M33" s="191"/>
      <c r="N33" s="191"/>
      <c r="O33" s="191"/>
      <c r="P33" s="192"/>
      <c r="Q33" s="191"/>
      <c r="R33" s="192"/>
      <c r="S33" s="193"/>
      <c r="T33" s="194"/>
      <c r="U33" s="195"/>
    </row>
    <row r="34" spans="1:24">
      <c r="A34" s="88"/>
      <c r="B34" s="89"/>
      <c r="E34" s="89"/>
      <c r="F34" s="89"/>
      <c r="G34" s="89"/>
      <c r="U34" s="67"/>
    </row>
    <row r="35" spans="1:24" ht="15" customHeight="1">
      <c r="A35" s="88"/>
      <c r="B35" s="89"/>
      <c r="E35" s="89"/>
      <c r="F35" s="89"/>
      <c r="G35" s="89"/>
      <c r="H35" s="1" t="s">
        <v>137</v>
      </c>
      <c r="I35" s="1149" t="s">
        <v>122</v>
      </c>
      <c r="J35" s="1149" t="s">
        <v>44</v>
      </c>
      <c r="K35" s="1147" t="s">
        <v>96</v>
      </c>
      <c r="L35" s="1147" t="s">
        <v>97</v>
      </c>
      <c r="M35" s="1147" t="s">
        <v>123</v>
      </c>
      <c r="N35" s="1147" t="s">
        <v>99</v>
      </c>
      <c r="O35" s="1147" t="s">
        <v>100</v>
      </c>
      <c r="P35" s="1147" t="s">
        <v>101</v>
      </c>
      <c r="Q35" s="1147" t="s">
        <v>124</v>
      </c>
      <c r="R35" s="1147" t="s">
        <v>125</v>
      </c>
      <c r="S35" s="1145" t="s">
        <v>126</v>
      </c>
      <c r="T35" s="1147" t="s">
        <v>127</v>
      </c>
      <c r="U35" s="111" t="s">
        <v>128</v>
      </c>
    </row>
    <row r="36" spans="1:24" ht="15" customHeight="1">
      <c r="A36" s="88"/>
      <c r="B36" s="89"/>
      <c r="E36" s="89"/>
      <c r="F36" s="89"/>
      <c r="G36" s="89"/>
      <c r="H36" s="1" t="s">
        <v>146</v>
      </c>
      <c r="I36" s="1150"/>
      <c r="J36" s="1150"/>
      <c r="K36" s="1148"/>
      <c r="L36" s="1148"/>
      <c r="M36" s="1148"/>
      <c r="N36" s="1148"/>
      <c r="O36" s="1148"/>
      <c r="P36" s="1148"/>
      <c r="Q36" s="1148"/>
      <c r="R36" s="1148"/>
      <c r="S36" s="1146"/>
      <c r="T36" s="1148"/>
      <c r="U36" s="111">
        <v>200</v>
      </c>
    </row>
    <row r="37" spans="1:24" ht="15.75">
      <c r="A37" s="50"/>
      <c r="E37" s="89"/>
      <c r="F37" s="89"/>
      <c r="G37" s="89"/>
      <c r="I37" s="61">
        <f>(56/60)*I3</f>
        <v>1866.6666666666667</v>
      </c>
      <c r="J37" s="63">
        <f t="shared" ref="J37:J49" si="18">((-0.2+(SQRT(0.04-3.2*((I37/E$5)-1))))/1.6)*$E$4</f>
        <v>1940.5126459503247</v>
      </c>
      <c r="K37" s="63">
        <f>J37-(('Optimasi Stage'!$M$5-'Optimasi Stage'!$M$18)*'Optimasi Stage'!$C$25)</f>
        <v>927.75809410432453</v>
      </c>
      <c r="L37" s="63">
        <f>'Optimasi Stage'!$M$18-('Frekuensi dulu'!K37/'Optimasi Stage'!$C$25)</f>
        <v>1976.2887339418244</v>
      </c>
      <c r="M37" s="63">
        <f>2.083*(100/'Optimasi Stage'!$M$14)^1.85*(I37/34.3)^1.85/('Optimasi Stage'!$F$19^4.8655)</f>
        <v>11.684019125467078</v>
      </c>
      <c r="N37" s="63">
        <f>(M37/1000)*'Optimasi Stage'!$M$18</f>
        <v>47.86942635703862</v>
      </c>
      <c r="O37" s="63">
        <f>'Optimasi Stage'!$F$21/'Optimasi Stage'!$C$25</f>
        <v>548.60281692862213</v>
      </c>
      <c r="P37" s="63">
        <f>L37+N37+O37</f>
        <v>2572.7609772274855</v>
      </c>
      <c r="Q37" s="63">
        <f>P37*'Optimasi Stage'!$C$25</f>
        <v>1125.5185272133474</v>
      </c>
      <c r="R37" s="63">
        <f>K37+Q37</f>
        <v>2053.2766213176719</v>
      </c>
      <c r="S37" s="60">
        <f>((56/60)^2)*S3</f>
        <v>3379.911111111111</v>
      </c>
      <c r="T37" s="62">
        <f>S37/$U$19</f>
        <v>16.899555555555555</v>
      </c>
      <c r="U37" s="68">
        <f t="shared" ref="U37:U49" si="19">R37-((E$2*T37/808.3141)*U$2)</f>
        <v>1565.3298815522928</v>
      </c>
      <c r="W37" s="1"/>
      <c r="X37" s="1"/>
    </row>
    <row r="38" spans="1:24" ht="15.75">
      <c r="A38" s="50"/>
      <c r="E38" s="89"/>
      <c r="F38" s="89"/>
      <c r="G38" s="89"/>
      <c r="I38" s="61">
        <f t="shared" ref="I38:I49" si="20">(56/60)*I4</f>
        <v>1913.3333333333333</v>
      </c>
      <c r="J38" s="63">
        <f t="shared" si="18"/>
        <v>1932.9470872819356</v>
      </c>
      <c r="K38" s="63">
        <f>J38-(('Optimasi Stage'!$M$5-'Optimasi Stage'!$M$18)*'Optimasi Stage'!$C$25)</f>
        <v>920.1925354359355</v>
      </c>
      <c r="L38" s="63">
        <f>'Optimasi Stage'!$M$18-('Frekuensi dulu'!K38/'Optimasi Stage'!$C$25)</f>
        <v>1993.5824289298116</v>
      </c>
      <c r="M38" s="63">
        <f>2.083*(100/'Optimasi Stage'!$M$14)^1.85*(I38/34.3)^1.85/('Optimasi Stage'!$F$19^4.8655)</f>
        <v>12.230139484080604</v>
      </c>
      <c r="N38" s="63">
        <f>(M38/1000)*'Optimasi Stage'!$M$18</f>
        <v>50.106881466278239</v>
      </c>
      <c r="O38" s="63">
        <f>'Optimasi Stage'!$F$21/'Optimasi Stage'!$C$25</f>
        <v>548.60281692862213</v>
      </c>
      <c r="P38" s="63">
        <f t="shared" ref="P38:P49" si="21">L38+N38+O38</f>
        <v>2592.2921273247121</v>
      </c>
      <c r="Q38" s="63">
        <f>P38*'Optimasi Stage'!$C$25</f>
        <v>1134.0629164849472</v>
      </c>
      <c r="R38" s="63">
        <f t="shared" ref="R38:R49" si="22">K38+Q38</f>
        <v>2054.2554519208825</v>
      </c>
      <c r="S38" s="60">
        <f t="shared" ref="S38:S49" si="23">((56/60)^2)*S4</f>
        <v>3275.3777777777782</v>
      </c>
      <c r="T38" s="62">
        <f t="shared" ref="T38:T49" si="24">S38/$U$19</f>
        <v>16.376888888888892</v>
      </c>
      <c r="U38" s="68">
        <f t="shared" si="19"/>
        <v>1581.3998484369067</v>
      </c>
    </row>
    <row r="39" spans="1:24" ht="15.75">
      <c r="A39" s="50"/>
      <c r="I39" s="61">
        <f t="shared" si="20"/>
        <v>1960</v>
      </c>
      <c r="J39" s="63">
        <f t="shared" si="18"/>
        <v>1925.3555519251011</v>
      </c>
      <c r="K39" s="63">
        <f>J39-(('Optimasi Stage'!$M$5-'Optimasi Stage'!$M$18)*'Optimasi Stage'!$C$25)</f>
        <v>912.60100007910091</v>
      </c>
      <c r="L39" s="63">
        <f>'Optimasi Stage'!$M$18-('Frekuensi dulu'!K39/'Optimasi Stage'!$C$25)</f>
        <v>2010.9355026030312</v>
      </c>
      <c r="M39" s="63">
        <f>2.083*(100/'Optimasi Stage'!$M$14)^1.85*(I39/34.3)^1.85/('Optimasi Stage'!$F$19^4.8655)</f>
        <v>12.787700686728362</v>
      </c>
      <c r="N39" s="63">
        <f>(M39/1000)*'Optimasi Stage'!$M$18</f>
        <v>52.391209713526102</v>
      </c>
      <c r="O39" s="63">
        <f>'Optimasi Stage'!$F$21/'Optimasi Stage'!$C$25</f>
        <v>548.60281692862213</v>
      </c>
      <c r="P39" s="63">
        <f t="shared" si="21"/>
        <v>2611.9295292451798</v>
      </c>
      <c r="Q39" s="63">
        <f>P39*'Optimasi Stage'!$C$25</f>
        <v>1142.653788269562</v>
      </c>
      <c r="R39" s="63">
        <f t="shared" si="22"/>
        <v>2055.2547883486632</v>
      </c>
      <c r="S39" s="60">
        <f t="shared" si="23"/>
        <v>3188.2666666666669</v>
      </c>
      <c r="T39" s="62">
        <f t="shared" si="24"/>
        <v>15.941333333333334</v>
      </c>
      <c r="U39" s="68">
        <f t="shared" si="19"/>
        <v>1594.975131765857</v>
      </c>
    </row>
    <row r="40" spans="1:24" ht="15" customHeight="1">
      <c r="I40" s="61">
        <f t="shared" si="20"/>
        <v>2006.6666666666667</v>
      </c>
      <c r="J40" s="63">
        <f t="shared" si="18"/>
        <v>1917.7377704516241</v>
      </c>
      <c r="K40" s="63">
        <f>J40-(('Optimasi Stage'!$M$5-'Optimasi Stage'!$M$18)*'Optimasi Stage'!$C$25)</f>
        <v>904.98321860562396</v>
      </c>
      <c r="L40" s="63">
        <f>'Optimasi Stage'!$M$18-('Frekuensi dulu'!K40/'Optimasi Stage'!$C$25)</f>
        <v>2028.3485708325984</v>
      </c>
      <c r="M40" s="63">
        <f>2.083*(100/'Optimasi Stage'!$M$14)^1.85*(I40/34.3)^1.85/('Optimasi Stage'!$F$19^4.8655)</f>
        <v>13.356661449023617</v>
      </c>
      <c r="N40" s="63">
        <f>(M40/1000)*'Optimasi Stage'!$M$18</f>
        <v>54.722241956649761</v>
      </c>
      <c r="O40" s="63">
        <f>'Optimasi Stage'!$F$21/'Optimasi Stage'!$C$25</f>
        <v>548.60281692862213</v>
      </c>
      <c r="P40" s="116">
        <f t="shared" si="21"/>
        <v>2631.6736297178704</v>
      </c>
      <c r="Q40" s="63">
        <f>P40*'Optimasi Stage'!$C$25</f>
        <v>1151.2913379999388</v>
      </c>
      <c r="R40" s="116">
        <f t="shared" si="22"/>
        <v>2056.2745566055628</v>
      </c>
      <c r="S40" s="60">
        <f t="shared" si="23"/>
        <v>3118.5777777777776</v>
      </c>
      <c r="T40" s="62">
        <f t="shared" si="24"/>
        <v>15.592888888888888</v>
      </c>
      <c r="U40" s="119">
        <f t="shared" si="19"/>
        <v>1606.0556575436924</v>
      </c>
    </row>
    <row r="41" spans="1:24" ht="15" customHeight="1">
      <c r="I41" s="70">
        <f t="shared" si="20"/>
        <v>2053.3333333333335</v>
      </c>
      <c r="J41" s="70">
        <f t="shared" si="18"/>
        <v>1910.0934687433696</v>
      </c>
      <c r="K41" s="70">
        <f>J41-(('Optimasi Stage'!$M$5-'Optimasi Stage'!$M$18)*'Optimasi Stage'!$C$25)</f>
        <v>897.33891689736947</v>
      </c>
      <c r="L41" s="70">
        <f>'Optimasi Stage'!$M$18-('Frekuensi dulu'!K41/'Optimasi Stage'!$C$25)</f>
        <v>2045.8222602101014</v>
      </c>
      <c r="M41" s="70">
        <f>2.083*(100/'Optimasi Stage'!$M$14)^1.85*(I41/34.3)^1.85/('Optimasi Stage'!$F$19^4.8655)</f>
        <v>13.936981602037358</v>
      </c>
      <c r="N41" s="70">
        <f>(M41/1000)*'Optimasi Stage'!$M$18</f>
        <v>57.099813623547057</v>
      </c>
      <c r="O41" s="70">
        <f>'Optimasi Stage'!$F$21/'Optimasi Stage'!$C$25</f>
        <v>548.60281692862213</v>
      </c>
      <c r="P41" s="70">
        <f t="shared" si="21"/>
        <v>2651.5248907622708</v>
      </c>
      <c r="Q41" s="70">
        <f>P41*'Optimasi Stage'!$C$25</f>
        <v>1159.9757677980381</v>
      </c>
      <c r="R41" s="70">
        <f t="shared" si="22"/>
        <v>2057.3146846954078</v>
      </c>
      <c r="S41" s="71">
        <f t="shared" si="23"/>
        <v>3014.0444444444447</v>
      </c>
      <c r="T41" s="72">
        <f t="shared" si="24"/>
        <v>15.070222222222224</v>
      </c>
      <c r="U41" s="73">
        <f t="shared" si="19"/>
        <v>1622.1869219149407</v>
      </c>
    </row>
    <row r="42" spans="1:24" ht="15.75">
      <c r="I42" s="71">
        <f t="shared" si="20"/>
        <v>2100</v>
      </c>
      <c r="J42" s="70">
        <f t="shared" si="18"/>
        <v>1902.4223678771693</v>
      </c>
      <c r="K42" s="70">
        <f>J42-(('Optimasi Stage'!$M$5-'Optimasi Stage'!$M$18)*'Optimasi Stage'!$C$25)</f>
        <v>889.6678160311692</v>
      </c>
      <c r="L42" s="70">
        <f>'Optimasi Stage'!$M$18-('Frekuensi dulu'!K42/'Optimasi Stage'!$C$25)</f>
        <v>2063.3572083106892</v>
      </c>
      <c r="M42" s="70">
        <f>2.083*(100/'Optimasi Stage'!$M$14)^1.85*(I42/34.3)^1.85/('Optimasi Stage'!$F$19^4.8655)</f>
        <v>14.528622037239126</v>
      </c>
      <c r="N42" s="70">
        <f>(M42/1000)*'Optimasi Stage'!$M$18</f>
        <v>59.523764486568702</v>
      </c>
      <c r="O42" s="70">
        <f>'Optimasi Stage'!$F$21/'Optimasi Stage'!$C$25</f>
        <v>548.60281692862213</v>
      </c>
      <c r="P42" s="70">
        <f t="shared" si="21"/>
        <v>2671.4837897258803</v>
      </c>
      <c r="Q42" s="70">
        <f>P42*'Optimasi Stage'!$C$25</f>
        <v>1168.7072864914419</v>
      </c>
      <c r="R42" s="70">
        <f t="shared" si="22"/>
        <v>2058.3751025226111</v>
      </c>
      <c r="S42" s="71">
        <f t="shared" si="23"/>
        <v>2926.9333333333334</v>
      </c>
      <c r="T42" s="72">
        <f t="shared" si="24"/>
        <v>14.634666666666668</v>
      </c>
      <c r="U42" s="73">
        <f t="shared" si="19"/>
        <v>1635.8232866433136</v>
      </c>
    </row>
    <row r="43" spans="1:24" ht="15.75">
      <c r="I43" s="70">
        <f t="shared" si="20"/>
        <v>2146.6666666666665</v>
      </c>
      <c r="J43" s="70">
        <f t="shared" si="18"/>
        <v>1894.7241840060717</v>
      </c>
      <c r="K43" s="70">
        <f>J43-(('Optimasi Stage'!$M$5-'Optimasi Stage'!$M$18)*'Optimasi Stage'!$C$25)</f>
        <v>881.96963216007157</v>
      </c>
      <c r="L43" s="70">
        <f>'Optimasi Stage'!$M$18-('Frekuensi dulu'!K43/'Optimasi Stage'!$C$25)</f>
        <v>2080.9540639645165</v>
      </c>
      <c r="M43" s="70">
        <f>2.083*(100/'Optimasi Stage'!$M$14)^1.85*(I43/34.3)^1.85/('Optimasi Stage'!$F$19^4.8655)</f>
        <v>15.131544655330719</v>
      </c>
      <c r="N43" s="70">
        <f>(M43/1000)*'Optimasi Stage'!$M$18</f>
        <v>61.993938452889957</v>
      </c>
      <c r="O43" s="70">
        <f>'Optimasi Stage'!$F$21/'Optimasi Stage'!$C$25</f>
        <v>548.60281692862213</v>
      </c>
      <c r="P43" s="70">
        <f t="shared" si="21"/>
        <v>2691.5508193460282</v>
      </c>
      <c r="Q43" s="70">
        <f>P43*'Optimasi Stage'!$C$25</f>
        <v>1177.4861096403979</v>
      </c>
      <c r="R43" s="70">
        <f t="shared" si="22"/>
        <v>2059.4557418004697</v>
      </c>
      <c r="S43" s="71">
        <f t="shared" si="23"/>
        <v>2822.4</v>
      </c>
      <c r="T43" s="72">
        <f t="shared" si="24"/>
        <v>14.112</v>
      </c>
      <c r="U43" s="73">
        <f t="shared" si="19"/>
        <v>1651.9950622025758</v>
      </c>
    </row>
    <row r="44" spans="1:24" ht="15.75">
      <c r="I44" s="70">
        <f t="shared" si="20"/>
        <v>2193.3333333333335</v>
      </c>
      <c r="J44" s="70">
        <f t="shared" si="18"/>
        <v>1886.9986282367854</v>
      </c>
      <c r="K44" s="70">
        <f>J44-(('Optimasi Stage'!$M$5-'Optimasi Stage'!$M$18)*'Optimasi Stage'!$C$25)</f>
        <v>874.24407639078527</v>
      </c>
      <c r="L44" s="70">
        <f>'Optimasi Stage'!$M$18-('Frekuensi dulu'!K44/'Optimasi Stage'!$C$25)</f>
        <v>2098.6134875368903</v>
      </c>
      <c r="M44" s="70">
        <f>2.083*(100/'Optimasi Stage'!$M$14)^1.85*(I44/34.3)^1.85/('Optimasi Stage'!$F$19^4.8655)</f>
        <v>15.745712318618045</v>
      </c>
      <c r="N44" s="70">
        <f>(M44/1000)*'Optimasi Stage'!$M$18</f>
        <v>64.510183369378126</v>
      </c>
      <c r="O44" s="70">
        <f>'Optimasi Stage'!$F$21/'Optimasi Stage'!$C$25</f>
        <v>548.60281692862213</v>
      </c>
      <c r="P44" s="70">
        <f t="shared" si="21"/>
        <v>2711.7264878348906</v>
      </c>
      <c r="Q44" s="70">
        <f>P44*'Optimasi Stage'!$C$25</f>
        <v>1186.3124595750119</v>
      </c>
      <c r="R44" s="70">
        <f t="shared" si="22"/>
        <v>2060.5565359657971</v>
      </c>
      <c r="S44" s="71">
        <f t="shared" si="23"/>
        <v>2700.4444444444448</v>
      </c>
      <c r="T44" s="72">
        <f t="shared" si="24"/>
        <v>13.502222222222224</v>
      </c>
      <c r="U44" s="73">
        <f t="shared" si="19"/>
        <v>1670.7021820295404</v>
      </c>
    </row>
    <row r="45" spans="1:24" ht="15.75">
      <c r="I45" s="78">
        <f t="shared" si="20"/>
        <v>2240</v>
      </c>
      <c r="J45" s="77">
        <f t="shared" si="18"/>
        <v>1879.2454065031804</v>
      </c>
      <c r="K45" s="77">
        <f>J45-(('Optimasi Stage'!$M$5-'Optimasi Stage'!$M$18)*'Optimasi Stage'!$C$25)</f>
        <v>866.49085465718031</v>
      </c>
      <c r="L45" s="77">
        <f>'Optimasi Stage'!$M$18-('Frekuensi dulu'!K45/'Optimasi Stage'!$C$25)</f>
        <v>2116.3361512174233</v>
      </c>
      <c r="M45" s="77">
        <f>2.083*(100/'Optimasi Stage'!$M$14)^1.85*(I45/34.3)^1.85/('Optimasi Stage'!$F$19^4.8655)</f>
        <v>16.371088806605822</v>
      </c>
      <c r="N45" s="77">
        <f>(M45/1000)*'Optimasi Stage'!$M$18</f>
        <v>67.072350840664058</v>
      </c>
      <c r="O45" s="77">
        <f>'Optimasi Stage'!$F$21/'Optimasi Stage'!$C$25</f>
        <v>548.60281692862213</v>
      </c>
      <c r="P45" s="77">
        <f t="shared" si="21"/>
        <v>2732.0113189867097</v>
      </c>
      <c r="Q45" s="77">
        <f>P45*'Optimasi Stage'!$C$25</f>
        <v>1195.1865654421533</v>
      </c>
      <c r="R45" s="77">
        <f t="shared" si="22"/>
        <v>2061.6774200993336</v>
      </c>
      <c r="S45" s="78">
        <f t="shared" si="23"/>
        <v>2613.3333333333335</v>
      </c>
      <c r="T45" s="79">
        <f t="shared" si="24"/>
        <v>13.066666666666668</v>
      </c>
      <c r="U45" s="80">
        <f t="shared" si="19"/>
        <v>1684.3990130642464</v>
      </c>
    </row>
    <row r="46" spans="1:24" ht="15.75">
      <c r="I46" s="70">
        <f t="shared" si="20"/>
        <v>2286.6666666666665</v>
      </c>
      <c r="J46" s="70">
        <f t="shared" si="18"/>
        <v>1871.4642194356782</v>
      </c>
      <c r="K46" s="70">
        <f>J46-(('Optimasi Stage'!$M$5-'Optimasi Stage'!$M$18)*'Optimasi Stage'!$C$25)</f>
        <v>858.70966758967802</v>
      </c>
      <c r="L46" s="70">
        <f>'Optimasi Stage'!$M$18-('Frekuensi dulu'!K46/'Optimasi Stage'!$C$25)</f>
        <v>2134.1227393185909</v>
      </c>
      <c r="M46" s="70">
        <f>2.083*(100/'Optimasi Stage'!$M$14)^1.85*(I46/34.3)^1.85/('Optimasi Stage'!$F$19^4.8655)</f>
        <v>17.007638774533689</v>
      </c>
      <c r="N46" s="70">
        <f>(M46/1000)*'Optimasi Stage'!$M$18</f>
        <v>69.680296059264521</v>
      </c>
      <c r="O46" s="70">
        <f>'Optimasi Stage'!$F$21/'Optimasi Stage'!$C$25</f>
        <v>548.60281692862213</v>
      </c>
      <c r="P46" s="70">
        <f t="shared" si="21"/>
        <v>2752.4058523064778</v>
      </c>
      <c r="Q46" s="70">
        <f>P46*'Optimasi Stage'!$C$25</f>
        <v>1204.1086632617516</v>
      </c>
      <c r="R46" s="70">
        <f t="shared" si="22"/>
        <v>2062.8183308514299</v>
      </c>
      <c r="S46" s="71">
        <f t="shared" si="23"/>
        <v>2526.2222222222222</v>
      </c>
      <c r="T46" s="72">
        <f t="shared" si="24"/>
        <v>12.63111111111111</v>
      </c>
      <c r="U46" s="73">
        <f t="shared" si="19"/>
        <v>1698.1158707175125</v>
      </c>
    </row>
    <row r="47" spans="1:24" ht="15.75">
      <c r="I47" s="70">
        <f t="shared" si="20"/>
        <v>2333.3333333333335</v>
      </c>
      <c r="J47" s="70">
        <f t="shared" si="18"/>
        <v>1863.6547622263706</v>
      </c>
      <c r="K47" s="70">
        <f>J47-(('Optimasi Stage'!$M$5-'Optimasi Stage'!$M$18)*'Optimasi Stage'!$C$25)</f>
        <v>850.90021038037048</v>
      </c>
      <c r="L47" s="70">
        <f>'Optimasi Stage'!$M$18-('Frekuensi dulu'!K47/'Optimasi Stage'!$C$25)</f>
        <v>2151.9739485840482</v>
      </c>
      <c r="M47" s="70">
        <f>2.083*(100/'Optimasi Stage'!$M$14)^1.85*(I47/34.3)^1.85/('Optimasi Stage'!$F$19^4.8655)</f>
        <v>17.655327714602208</v>
      </c>
      <c r="N47" s="70">
        <f>(M47/1000)*'Optimasi Stage'!$M$18</f>
        <v>72.333877646725256</v>
      </c>
      <c r="O47" s="70">
        <f>'Optimasi Stage'!$F$21/'Optimasi Stage'!$C$25</f>
        <v>548.60281692862213</v>
      </c>
      <c r="P47" s="70">
        <f t="shared" si="21"/>
        <v>2772.9106431593955</v>
      </c>
      <c r="Q47" s="70">
        <f>P47*'Optimasi Stage'!$C$25</f>
        <v>1213.0789959921804</v>
      </c>
      <c r="R47" s="70">
        <f t="shared" si="22"/>
        <v>2063.9792063725508</v>
      </c>
      <c r="S47" s="71">
        <f t="shared" si="23"/>
        <v>2439.1111111111113</v>
      </c>
      <c r="T47" s="72">
        <f t="shared" si="24"/>
        <v>12.195555555555556</v>
      </c>
      <c r="U47" s="73">
        <f t="shared" si="19"/>
        <v>1711.8526931398028</v>
      </c>
    </row>
    <row r="48" spans="1:24" ht="15.75">
      <c r="I48" s="61">
        <f t="shared" si="20"/>
        <v>2380</v>
      </c>
      <c r="J48" s="63">
        <f t="shared" si="18"/>
        <v>1855.8167244896988</v>
      </c>
      <c r="K48" s="63">
        <f>J48-(('Optimasi Stage'!$M$5-'Optimasi Stage'!$M$18)*'Optimasi Stage'!$C$25)</f>
        <v>843.06217264369866</v>
      </c>
      <c r="L48" s="63">
        <f>'Optimasi Stage'!$M$18-('Frekuensi dulu'!K48/'Optimasi Stage'!$C$25)</f>
        <v>2169.8904885070938</v>
      </c>
      <c r="M48" s="63">
        <f>2.083*(100/'Optimasi Stage'!$M$14)^1.85*(I48/34.3)^1.85/('Optimasi Stage'!$F$19^4.8655)</f>
        <v>18.314121919663901</v>
      </c>
      <c r="N48" s="63">
        <f>(M48/1000)*'Optimasi Stage'!$M$18</f>
        <v>75.032957504862992</v>
      </c>
      <c r="O48" s="63">
        <f>'Optimasi Stage'!$F$21/'Optimasi Stage'!$C$25</f>
        <v>548.60281692862213</v>
      </c>
      <c r="P48" s="82">
        <f t="shared" si="21"/>
        <v>2793.5262629405788</v>
      </c>
      <c r="Q48" s="63">
        <f>P48*'Optimasi Stage'!$C$25</f>
        <v>1222.0978136045001</v>
      </c>
      <c r="R48" s="82">
        <f t="shared" si="22"/>
        <v>2065.1599862481989</v>
      </c>
      <c r="S48" s="60">
        <f t="shared" si="23"/>
        <v>2264.8888888888891</v>
      </c>
      <c r="T48" s="62">
        <f t="shared" si="24"/>
        <v>11.324444444444445</v>
      </c>
      <c r="U48" s="85">
        <f t="shared" si="19"/>
        <v>1738.1853668177901</v>
      </c>
    </row>
    <row r="49" spans="8:21" ht="15.75">
      <c r="I49" s="181">
        <f t="shared" si="20"/>
        <v>2426.6666666666665</v>
      </c>
      <c r="J49" s="182">
        <f t="shared" si="18"/>
        <v>1847.949790118508</v>
      </c>
      <c r="K49" s="182">
        <f>J49-(('Optimasi Stage'!$M$5-'Optimasi Stage'!$M$18)*'Optimasi Stage'!$C$25)</f>
        <v>835.19523827250782</v>
      </c>
      <c r="L49" s="182">
        <f>'Optimasi Stage'!$M$18-('Frekuensi dulu'!K49/'Optimasi Stage'!$C$25)</f>
        <v>2187.8730816597099</v>
      </c>
      <c r="M49" s="182">
        <f>2.083*(100/'Optimasi Stage'!$M$14)^1.85*(I49/34.3)^1.85/('Optimasi Stage'!$F$19^4.8655)</f>
        <v>18.983988449176255</v>
      </c>
      <c r="N49" s="182">
        <f>(M49/1000)*'Optimasi Stage'!$M$18</f>
        <v>77.777400676275121</v>
      </c>
      <c r="O49" s="182">
        <f>'Optimasi Stage'!$F$21/'Optimasi Stage'!$C$25</f>
        <v>548.60281692862213</v>
      </c>
      <c r="P49" s="183">
        <f t="shared" si="21"/>
        <v>2814.2532992646074</v>
      </c>
      <c r="Q49" s="182">
        <f>P49*'Optimasi Stage'!$C$25</f>
        <v>1231.1653731653801</v>
      </c>
      <c r="R49" s="183">
        <f t="shared" si="22"/>
        <v>2066.3606114378881</v>
      </c>
      <c r="S49" s="187">
        <f t="shared" si="23"/>
        <v>2177.7777777777778</v>
      </c>
      <c r="T49" s="188">
        <f t="shared" si="24"/>
        <v>10.888888888888889</v>
      </c>
      <c r="U49" s="189">
        <f t="shared" si="19"/>
        <v>1751.9619389086488</v>
      </c>
    </row>
    <row r="50" spans="8:21" ht="15.75">
      <c r="I50" s="190"/>
      <c r="J50" s="191"/>
      <c r="K50" s="191"/>
      <c r="L50" s="191"/>
      <c r="M50" s="191"/>
      <c r="N50" s="191"/>
      <c r="O50" s="191"/>
      <c r="P50" s="192"/>
      <c r="Q50" s="191"/>
      <c r="R50" s="192"/>
      <c r="S50" s="193"/>
      <c r="T50" s="194"/>
      <c r="U50" s="195"/>
    </row>
    <row r="51" spans="8:21" ht="15.75">
      <c r="J51" s="87"/>
      <c r="K51" s="87"/>
      <c r="L51" s="67"/>
      <c r="M51" s="87"/>
      <c r="N51" s="87"/>
      <c r="O51" s="67"/>
      <c r="P51" s="67"/>
      <c r="Q51" s="67"/>
      <c r="U51" s="67"/>
    </row>
    <row r="52" spans="8:21" ht="15" customHeight="1">
      <c r="H52" s="1" t="s">
        <v>138</v>
      </c>
      <c r="I52" s="1149" t="s">
        <v>122</v>
      </c>
      <c r="J52" s="1149" t="s">
        <v>44</v>
      </c>
      <c r="K52" s="1147" t="s">
        <v>96</v>
      </c>
      <c r="L52" s="1147" t="s">
        <v>97</v>
      </c>
      <c r="M52" s="1147" t="s">
        <v>123</v>
      </c>
      <c r="N52" s="1147" t="s">
        <v>99</v>
      </c>
      <c r="O52" s="1147" t="s">
        <v>100</v>
      </c>
      <c r="P52" s="1147" t="s">
        <v>101</v>
      </c>
      <c r="Q52" s="1147" t="s">
        <v>124</v>
      </c>
      <c r="R52" s="1147" t="s">
        <v>125</v>
      </c>
      <c r="S52" s="1145" t="s">
        <v>126</v>
      </c>
      <c r="T52" s="1147" t="s">
        <v>127</v>
      </c>
      <c r="U52" s="111" t="s">
        <v>128</v>
      </c>
    </row>
    <row r="53" spans="8:21" ht="15" customHeight="1">
      <c r="H53" s="1" t="s">
        <v>146</v>
      </c>
      <c r="I53" s="1150"/>
      <c r="J53" s="1150"/>
      <c r="K53" s="1148"/>
      <c r="L53" s="1148"/>
      <c r="M53" s="1148"/>
      <c r="N53" s="1148"/>
      <c r="O53" s="1148"/>
      <c r="P53" s="1148"/>
      <c r="Q53" s="1148"/>
      <c r="R53" s="1148"/>
      <c r="S53" s="1146"/>
      <c r="T53" s="1148"/>
      <c r="U53" s="111">
        <v>200</v>
      </c>
    </row>
    <row r="54" spans="8:21" ht="15" customHeight="1">
      <c r="I54" s="61">
        <f>(54/60)*I3</f>
        <v>1800</v>
      </c>
      <c r="J54" s="63">
        <f t="shared" ref="J54:J66" si="25">((-0.2+(SQRT(0.04-3.2*((I54/E$5)-1))))/1.6)*$E$4</f>
        <v>1951.2760494174013</v>
      </c>
      <c r="K54" s="63">
        <f>J54-(('Optimasi Stage'!$M$5-'Optimasi Stage'!$M$18)*'Optimasi Stage'!$C$25)</f>
        <v>938.52149757140114</v>
      </c>
      <c r="L54" s="63">
        <f>'Optimasi Stage'!$M$18-('Frekuensi dulu'!K54/'Optimasi Stage'!$C$25)</f>
        <v>1951.6852611844179</v>
      </c>
      <c r="M54" s="63">
        <f>2.083*(100/'Optimasi Stage'!$M$14)^1.85*(I54/34.3)^1.85/('Optimasi Stage'!$F$19^4.8655)</f>
        <v>10.923777983867341</v>
      </c>
      <c r="N54" s="63">
        <f>(M54/1000)*'Optimasi Stage'!$M$18</f>
        <v>44.754718399904498</v>
      </c>
      <c r="O54" s="63">
        <f>'Optimasi Stage'!$F$21/'Optimasi Stage'!$C$25</f>
        <v>548.60281692862213</v>
      </c>
      <c r="P54" s="63">
        <f>L54+N54+O54</f>
        <v>2545.0427965129447</v>
      </c>
      <c r="Q54" s="63">
        <f>P54*'Optimasi Stage'!$C$25</f>
        <v>1113.3925169811482</v>
      </c>
      <c r="R54" s="63">
        <f>K54+Q54</f>
        <v>2051.9140145525494</v>
      </c>
      <c r="S54" s="60">
        <f>((54/60)^2)*S3</f>
        <v>3142.7999999999997</v>
      </c>
      <c r="T54" s="62">
        <f>S54/$U$19</f>
        <v>15.713999999999999</v>
      </c>
      <c r="U54" s="68">
        <f t="shared" ref="U54:U66" si="26">R54-((E$2*T54/808.3141)*U$2)</f>
        <v>1598.198232296221</v>
      </c>
    </row>
    <row r="55" spans="8:21" ht="15.75">
      <c r="I55" s="61">
        <f t="shared" ref="I55:I66" si="27">(54/60)*I4</f>
        <v>1845</v>
      </c>
      <c r="J55" s="63">
        <f t="shared" si="25"/>
        <v>1944.016470795101</v>
      </c>
      <c r="K55" s="63">
        <f>J55-(('Optimasi Stage'!$M$5-'Optimasi Stage'!$M$18)*'Optimasi Stage'!$C$25)</f>
        <v>931.26191894910085</v>
      </c>
      <c r="L55" s="63">
        <f>'Optimasi Stage'!$M$18-('Frekuensi dulu'!K55/'Optimasi Stage'!$C$25)</f>
        <v>1968.2795331923712</v>
      </c>
      <c r="M55" s="63">
        <f>2.083*(100/'Optimasi Stage'!$M$14)^1.85*(I55/34.3)^1.85/('Optimasi Stage'!$F$19^4.8655)</f>
        <v>11.434364066096618</v>
      </c>
      <c r="N55" s="63">
        <f>(M55/1000)*'Optimasi Stage'!$M$18</f>
        <v>46.846589578797847</v>
      </c>
      <c r="O55" s="63">
        <f>'Optimasi Stage'!$F$21/'Optimasi Stage'!$C$25</f>
        <v>548.60281692862213</v>
      </c>
      <c r="P55" s="63">
        <f t="shared" ref="P55:P66" si="28">L55+N55+O55</f>
        <v>2563.7289396997912</v>
      </c>
      <c r="Q55" s="63">
        <f>P55*'Optimasi Stage'!$C$25</f>
        <v>1121.5672368813318</v>
      </c>
      <c r="R55" s="63">
        <f t="shared" ref="R55:R66" si="29">K55+Q55</f>
        <v>2052.8291558304327</v>
      </c>
      <c r="S55" s="60">
        <f t="shared" ref="S55:S66" si="30">((54/60)^2)*S4</f>
        <v>3045.6000000000004</v>
      </c>
      <c r="T55" s="62">
        <f t="shared" ref="T55:T66" si="31">S55/$U$19</f>
        <v>15.228000000000002</v>
      </c>
      <c r="U55" s="68">
        <f t="shared" si="26"/>
        <v>1613.1458204480114</v>
      </c>
    </row>
    <row r="56" spans="8:21" ht="15.75">
      <c r="I56" s="61">
        <f t="shared" si="27"/>
        <v>1890</v>
      </c>
      <c r="J56" s="63">
        <f t="shared" si="25"/>
        <v>1936.7330970430501</v>
      </c>
      <c r="K56" s="63">
        <f>J56-(('Optimasi Stage'!$M$5-'Optimasi Stage'!$M$18)*'Optimasi Stage'!$C$25)</f>
        <v>923.97854519704993</v>
      </c>
      <c r="L56" s="63">
        <f>'Optimasi Stage'!$M$18-('Frekuensi dulu'!K56/'Optimasi Stage'!$C$25)</f>
        <v>1984.9281971803675</v>
      </c>
      <c r="M56" s="63">
        <f>2.083*(100/'Optimasi Stage'!$M$14)^1.85*(I56/34.3)^1.85/('Optimasi Stage'!$F$19^4.8655)</f>
        <v>11.95564657383118</v>
      </c>
      <c r="N56" s="63">
        <f>(M56/1000)*'Optimasi Stage'!$M$18</f>
        <v>48.982284012986341</v>
      </c>
      <c r="O56" s="63">
        <f>'Optimasi Stage'!$F$21/'Optimasi Stage'!$C$25</f>
        <v>548.60281692862213</v>
      </c>
      <c r="P56" s="63">
        <f t="shared" si="28"/>
        <v>2582.5132981219758</v>
      </c>
      <c r="Q56" s="63">
        <f>P56*'Optimasi Stage'!$C$25</f>
        <v>1129.7849234884914</v>
      </c>
      <c r="R56" s="63">
        <f t="shared" si="29"/>
        <v>2053.7634686855413</v>
      </c>
      <c r="S56" s="60">
        <f t="shared" si="30"/>
        <v>2964.6000000000004</v>
      </c>
      <c r="T56" s="62">
        <f t="shared" si="31"/>
        <v>14.823000000000002</v>
      </c>
      <c r="U56" s="68">
        <f t="shared" si="26"/>
        <v>1625.7738390313759</v>
      </c>
    </row>
    <row r="57" spans="8:21" ht="15.75">
      <c r="I57" s="61">
        <f t="shared" si="27"/>
        <v>1935</v>
      </c>
      <c r="J57" s="63">
        <f t="shared" si="25"/>
        <v>1929.425692632049</v>
      </c>
      <c r="K57" s="63">
        <f>J57-(('Optimasi Stage'!$M$5-'Optimasi Stage'!$M$18)*'Optimasi Stage'!$C$25)</f>
        <v>916.67114078604891</v>
      </c>
      <c r="L57" s="63">
        <f>'Optimasi Stage'!$M$18-('Frekuensi dulu'!K57/'Optimasi Stage'!$C$25)</f>
        <v>2001.6317915316667</v>
      </c>
      <c r="M57" s="63">
        <f>2.083*(100/'Optimasi Stage'!$M$14)^1.85*(I57/34.3)^1.85/('Optimasi Stage'!$F$19^4.8655)</f>
        <v>12.487586908925145</v>
      </c>
      <c r="N57" s="63">
        <f>(M57/1000)*'Optimasi Stage'!$M$18</f>
        <v>51.161643565866321</v>
      </c>
      <c r="O57" s="63">
        <f>'Optimasi Stage'!$F$21/'Optimasi Stage'!$C$25</f>
        <v>548.60281692862213</v>
      </c>
      <c r="P57" s="116">
        <f t="shared" si="28"/>
        <v>2601.3962520261548</v>
      </c>
      <c r="Q57" s="63">
        <f>P57*'Optimasi Stage'!$C$25</f>
        <v>1138.0457431510206</v>
      </c>
      <c r="R57" s="116">
        <f t="shared" si="29"/>
        <v>2054.7168839370697</v>
      </c>
      <c r="S57" s="60">
        <f t="shared" si="30"/>
        <v>2899.7999999999997</v>
      </c>
      <c r="T57" s="62">
        <f t="shared" si="31"/>
        <v>14.498999999999999</v>
      </c>
      <c r="U57" s="119">
        <f t="shared" si="26"/>
        <v>1636.082218865509</v>
      </c>
    </row>
    <row r="58" spans="8:21" ht="15.75">
      <c r="I58" s="69">
        <f t="shared" si="27"/>
        <v>1980</v>
      </c>
      <c r="J58" s="70">
        <f t="shared" si="25"/>
        <v>1922.0940181215376</v>
      </c>
      <c r="K58" s="70">
        <f>J58-(('Optimasi Stage'!$M$5-'Optimasi Stage'!$M$18)*'Optimasi Stage'!$C$25)</f>
        <v>909.33946627553746</v>
      </c>
      <c r="L58" s="70">
        <f>'Optimasi Stage'!$M$18-('Frekuensi dulu'!K58/'Optimasi Stage'!$C$25)</f>
        <v>2018.3908635702928</v>
      </c>
      <c r="M58" s="70">
        <f>2.083*(100/'Optimasi Stage'!$M$14)^1.85*(I58/34.3)^1.85/('Optimasi Stage'!$F$19^4.8655)</f>
        <v>13.030147516111127</v>
      </c>
      <c r="N58" s="70">
        <f>(M58/1000)*'Optimasi Stage'!$M$18</f>
        <v>53.384514373507287</v>
      </c>
      <c r="O58" s="70">
        <f>'Optimasi Stage'!$F$21/'Optimasi Stage'!$C$25</f>
        <v>548.60281692862213</v>
      </c>
      <c r="P58" s="70">
        <f t="shared" si="28"/>
        <v>2620.3781948724227</v>
      </c>
      <c r="Q58" s="70">
        <f>P58*'Optimasi Stage'!$C$25</f>
        <v>1146.3498679978622</v>
      </c>
      <c r="R58" s="70">
        <f t="shared" si="29"/>
        <v>2055.6893342733997</v>
      </c>
      <c r="S58" s="71">
        <f t="shared" si="30"/>
        <v>2802.6000000000004</v>
      </c>
      <c r="T58" s="72">
        <f t="shared" si="31"/>
        <v>14.013000000000002</v>
      </c>
      <c r="U58" s="73">
        <f t="shared" si="26"/>
        <v>1651.0871160757461</v>
      </c>
    </row>
    <row r="59" spans="8:21" ht="15.75">
      <c r="I59" s="69">
        <f t="shared" si="27"/>
        <v>2025</v>
      </c>
      <c r="J59" s="70">
        <f t="shared" si="25"/>
        <v>1914.7378300680489</v>
      </c>
      <c r="K59" s="70">
        <f>J59-(('Optimasi Stage'!$M$5-'Optimasi Stage'!$M$18)*'Optimasi Stage'!$C$25)</f>
        <v>901.98327822204874</v>
      </c>
      <c r="L59" s="70">
        <f>'Optimasi Stage'!$M$18-('Frekuensi dulu'!K59/'Optimasi Stage'!$C$25)</f>
        <v>2035.2059697702953</v>
      </c>
      <c r="M59" s="70">
        <f>2.083*(100/'Optimasi Stage'!$M$14)^1.85*(I59/34.3)^1.85/('Optimasi Stage'!$F$19^4.8655)</f>
        <v>13.583291831523624</v>
      </c>
      <c r="N59" s="70">
        <f>(M59/1000)*'Optimasi Stage'!$M$18</f>
        <v>55.650746633752284</v>
      </c>
      <c r="O59" s="70">
        <f>'Optimasi Stage'!$F$21/'Optimasi Stage'!$C$25</f>
        <v>548.60281692862213</v>
      </c>
      <c r="P59" s="70">
        <f t="shared" si="28"/>
        <v>2639.4595333326697</v>
      </c>
      <c r="Q59" s="70">
        <f>P59*'Optimasi Stage'!$C$25</f>
        <v>1154.6974759377886</v>
      </c>
      <c r="R59" s="70">
        <f t="shared" si="29"/>
        <v>2056.6807541598373</v>
      </c>
      <c r="S59" s="71">
        <f t="shared" si="30"/>
        <v>2721.6000000000004</v>
      </c>
      <c r="T59" s="72">
        <f t="shared" si="31"/>
        <v>13.608000000000002</v>
      </c>
      <c r="U59" s="73">
        <f t="shared" si="26"/>
        <v>1663.7722416904394</v>
      </c>
    </row>
    <row r="60" spans="8:21" ht="15.75">
      <c r="I60" s="69">
        <f t="shared" si="27"/>
        <v>2070</v>
      </c>
      <c r="J60" s="70">
        <f t="shared" si="25"/>
        <v>1907.3568809308913</v>
      </c>
      <c r="K60" s="70">
        <f>J60-(('Optimasi Stage'!$M$5-'Optimasi Stage'!$M$18)*'Optimasi Stage'!$C$25)</f>
        <v>894.60232908489115</v>
      </c>
      <c r="L60" s="70">
        <f>'Optimasi Stage'!$M$18-('Frekuensi dulu'!K60/'Optimasi Stage'!$C$25)</f>
        <v>2052.0776759713435</v>
      </c>
      <c r="M60" s="70">
        <f>2.083*(100/'Optimasi Stage'!$M$14)^1.85*(I60/34.3)^1.85/('Optimasi Stage'!$F$19^4.8655)</f>
        <v>14.146984234861849</v>
      </c>
      <c r="N60" s="70">
        <f>(M60/1000)*'Optimasi Stage'!$M$18</f>
        <v>57.960194410228993</v>
      </c>
      <c r="O60" s="70">
        <f>'Optimasi Stage'!$F$21/'Optimasi Stage'!$C$25</f>
        <v>548.60281692862213</v>
      </c>
      <c r="P60" s="70">
        <f t="shared" si="28"/>
        <v>2658.6406873101951</v>
      </c>
      <c r="Q60" s="70">
        <f>P60*'Optimasi Stage'!$C$25</f>
        <v>1163.0887506679819</v>
      </c>
      <c r="R60" s="70">
        <f t="shared" si="29"/>
        <v>2057.6910797528731</v>
      </c>
      <c r="S60" s="71">
        <f t="shared" si="30"/>
        <v>2624.4</v>
      </c>
      <c r="T60" s="72">
        <f t="shared" si="31"/>
        <v>13.122</v>
      </c>
      <c r="U60" s="73">
        <f t="shared" si="26"/>
        <v>1678.8150141573824</v>
      </c>
    </row>
    <row r="61" spans="8:21" ht="15.75">
      <c r="I61" s="69">
        <f t="shared" si="27"/>
        <v>2115</v>
      </c>
      <c r="J61" s="70">
        <f t="shared" si="25"/>
        <v>1899.9509189749531</v>
      </c>
      <c r="K61" s="70">
        <f>J61-(('Optimasi Stage'!$M$5-'Optimasi Stage'!$M$18)*'Optimasi Stage'!$C$25)</f>
        <v>887.19636712895294</v>
      </c>
      <c r="L61" s="70">
        <f>'Optimasi Stage'!$M$18-('Frekuensi dulu'!K61/'Optimasi Stage'!$C$25)</f>
        <v>2069.0065576009015</v>
      </c>
      <c r="M61" s="70">
        <f>2.083*(100/'Optimasi Stage'!$M$14)^1.85*(I61/34.3)^1.85/('Optimasi Stage'!$F$19^4.8655)</f>
        <v>14.721190004860828</v>
      </c>
      <c r="N61" s="70">
        <f>(M61/1000)*'Optimasi Stage'!$M$18</f>
        <v>60.312715449914812</v>
      </c>
      <c r="O61" s="70">
        <f>'Optimasi Stage'!$F$21/'Optimasi Stage'!$C$25</f>
        <v>548.60281692862213</v>
      </c>
      <c r="P61" s="70">
        <f t="shared" si="28"/>
        <v>2677.9220899794382</v>
      </c>
      <c r="Q61" s="70">
        <f>P61*'Optimasi Stage'!$C$25</f>
        <v>1171.5238816914168</v>
      </c>
      <c r="R61" s="70">
        <f t="shared" si="29"/>
        <v>2058.7202488203698</v>
      </c>
      <c r="S61" s="71">
        <f t="shared" si="30"/>
        <v>2511</v>
      </c>
      <c r="T61" s="72">
        <f t="shared" si="31"/>
        <v>12.555</v>
      </c>
      <c r="U61" s="73">
        <f t="shared" si="26"/>
        <v>1696.2153712444374</v>
      </c>
    </row>
    <row r="62" spans="8:21" ht="15.75">
      <c r="I62" s="76">
        <f t="shared" si="27"/>
        <v>2160</v>
      </c>
      <c r="J62" s="77">
        <f t="shared" si="25"/>
        <v>1892.5196881705215</v>
      </c>
      <c r="K62" s="77">
        <f>J62-(('Optimasi Stage'!$M$5-'Optimasi Stage'!$M$18)*'Optimasi Stage'!$C$25)</f>
        <v>879.76513632452134</v>
      </c>
      <c r="L62" s="77">
        <f>'Optimasi Stage'!$M$18-('Frekuensi dulu'!K62/'Optimasi Stage'!$C$25)</f>
        <v>2085.993199903226</v>
      </c>
      <c r="M62" s="77">
        <f>2.083*(100/'Optimasi Stage'!$M$14)^1.85*(I62/34.3)^1.85/('Optimasi Stage'!$F$19^4.8655)</f>
        <v>15.305875277775089</v>
      </c>
      <c r="N62" s="77">
        <f>(M62/1000)*'Optimasi Stage'!$M$18</f>
        <v>62.708171013044542</v>
      </c>
      <c r="O62" s="77">
        <f>'Optimasi Stage'!$F$21/'Optimasi Stage'!$C$25</f>
        <v>548.60281692862213</v>
      </c>
      <c r="P62" s="77">
        <f t="shared" si="28"/>
        <v>2697.304187844893</v>
      </c>
      <c r="Q62" s="77">
        <f>P62*'Optimasi Stage'!$C$25</f>
        <v>1180.0030643426323</v>
      </c>
      <c r="R62" s="77">
        <f t="shared" si="29"/>
        <v>2059.7682006671539</v>
      </c>
      <c r="S62" s="78">
        <f t="shared" si="30"/>
        <v>2430</v>
      </c>
      <c r="T62" s="79">
        <f t="shared" si="31"/>
        <v>12.15</v>
      </c>
      <c r="U62" s="80">
        <f t="shared" si="26"/>
        <v>1708.9570288194773</v>
      </c>
    </row>
    <row r="63" spans="8:21" ht="15.75">
      <c r="I63" s="69">
        <f t="shared" si="27"/>
        <v>2205</v>
      </c>
      <c r="J63" s="70">
        <f t="shared" si="25"/>
        <v>1885.0629280900062</v>
      </c>
      <c r="K63" s="70">
        <f>J63-(('Optimasi Stage'!$M$5-'Optimasi Stage'!$M$18)*'Optimasi Stage'!$C$25)</f>
        <v>872.30837624400601</v>
      </c>
      <c r="L63" s="70">
        <f>'Optimasi Stage'!$M$18-('Frekuensi dulu'!K63/'Optimasi Stage'!$C$25)</f>
        <v>2103.0381981754413</v>
      </c>
      <c r="M63" s="70">
        <f>2.083*(100/'Optimasi Stage'!$M$14)^1.85*(I63/34.3)^1.85/('Optimasi Stage'!$F$19^4.8655)</f>
        <v>15.90100700861292</v>
      </c>
      <c r="N63" s="70">
        <f>(M63/1000)*'Optimasi Stage'!$M$18</f>
        <v>65.146425714287133</v>
      </c>
      <c r="O63" s="70">
        <f>'Optimasi Stage'!$F$21/'Optimasi Stage'!$C$25</f>
        <v>548.60281692862213</v>
      </c>
      <c r="P63" s="70">
        <f t="shared" si="28"/>
        <v>2716.7874408183507</v>
      </c>
      <c r="Q63" s="70">
        <f>P63*'Optimasi Stage'!$C$25</f>
        <v>1188.526499821525</v>
      </c>
      <c r="R63" s="70">
        <f t="shared" si="29"/>
        <v>2060.8348760655308</v>
      </c>
      <c r="S63" s="71">
        <f t="shared" si="30"/>
        <v>2349</v>
      </c>
      <c r="T63" s="72">
        <f t="shared" si="31"/>
        <v>11.744999999999999</v>
      </c>
      <c r="U63" s="73">
        <f t="shared" si="26"/>
        <v>1721.7174099461101</v>
      </c>
    </row>
    <row r="64" spans="8:21" ht="15.75">
      <c r="I64" s="69">
        <f t="shared" si="27"/>
        <v>2250</v>
      </c>
      <c r="J64" s="70">
        <f t="shared" si="25"/>
        <v>1877.5803738014458</v>
      </c>
      <c r="K64" s="70">
        <f>J64-(('Optimasi Stage'!$M$5-'Optimasi Stage'!$M$18)*'Optimasi Stage'!$C$25)</f>
        <v>864.82582195544569</v>
      </c>
      <c r="L64" s="70">
        <f>'Optimasi Stage'!$M$18-('Frekuensi dulu'!K64/'Optimasi Stage'!$C$25)</f>
        <v>2120.1421580109645</v>
      </c>
      <c r="M64" s="70">
        <f>2.083*(100/'Optimasi Stage'!$M$14)^1.85*(I64/34.3)^1.85/('Optimasi Stage'!$F$19^4.8655)</f>
        <v>16.506552934885278</v>
      </c>
      <c r="N64" s="70">
        <f>(M64/1000)*'Optimasi Stage'!$M$18</f>
        <v>67.627347374224982</v>
      </c>
      <c r="O64" s="70">
        <f>'Optimasi Stage'!$F$21/'Optimasi Stage'!$C$25</f>
        <v>548.60281692862213</v>
      </c>
      <c r="P64" s="70">
        <f t="shared" si="28"/>
        <v>2736.3723223138113</v>
      </c>
      <c r="Q64" s="70">
        <f>P64*'Optimasi Stage'!$C$25</f>
        <v>1197.0943952348694</v>
      </c>
      <c r="R64" s="70">
        <f t="shared" si="29"/>
        <v>2061.9202171903153</v>
      </c>
      <c r="S64" s="71">
        <f t="shared" si="30"/>
        <v>2268</v>
      </c>
      <c r="T64" s="72">
        <f t="shared" si="31"/>
        <v>11.34</v>
      </c>
      <c r="U64" s="73">
        <f t="shared" si="26"/>
        <v>1734.4964567991506</v>
      </c>
    </row>
    <row r="65" spans="8:21" ht="15.75">
      <c r="I65" s="61">
        <f t="shared" si="27"/>
        <v>2295</v>
      </c>
      <c r="J65" s="63">
        <f t="shared" si="25"/>
        <v>1870.0717557586765</v>
      </c>
      <c r="K65" s="63">
        <f>J65-(('Optimasi Stage'!$M$5-'Optimasi Stage'!$M$18)*'Optimasi Stage'!$C$25)</f>
        <v>857.3172039126764</v>
      </c>
      <c r="L65" s="63">
        <f>'Optimasi Stage'!$M$18-('Frekuensi dulu'!K65/'Optimasi Stage'!$C$25)</f>
        <v>2137.3056955505654</v>
      </c>
      <c r="M65" s="63">
        <f>2.083*(100/'Optimasi Stage'!$M$14)^1.85*(I65/34.3)^1.85/('Optimasi Stage'!$F$19^4.8655)</f>
        <v>17.122481542659152</v>
      </c>
      <c r="N65" s="63">
        <f>(M65/1000)*'Optimasi Stage'!$M$18</f>
        <v>70.150806880274544</v>
      </c>
      <c r="O65" s="63">
        <f>'Optimasi Stage'!$F$21/'Optimasi Stage'!$C$25</f>
        <v>548.60281692862213</v>
      </c>
      <c r="P65" s="82">
        <f t="shared" si="28"/>
        <v>2756.0593193594623</v>
      </c>
      <c r="Q65" s="63">
        <f>P65*'Optimasi Stage'!$C$25</f>
        <v>1205.7069636453064</v>
      </c>
      <c r="R65" s="82">
        <f t="shared" si="29"/>
        <v>2063.0241675579828</v>
      </c>
      <c r="S65" s="60">
        <f t="shared" si="30"/>
        <v>2106</v>
      </c>
      <c r="T65" s="62">
        <f t="shared" si="31"/>
        <v>10.53</v>
      </c>
      <c r="U65" s="85">
        <f t="shared" si="26"/>
        <v>1758.9878186233298</v>
      </c>
    </row>
    <row r="66" spans="8:21" ht="15" customHeight="1">
      <c r="I66" s="181">
        <f t="shared" si="27"/>
        <v>2340</v>
      </c>
      <c r="J66" s="182">
        <f t="shared" si="25"/>
        <v>1862.5367996880334</v>
      </c>
      <c r="K66" s="182">
        <f>J66-(('Optimasi Stage'!$M$5-'Optimasi Stage'!$M$18)*'Optimasi Stage'!$C$25)</f>
        <v>849.78224784203326</v>
      </c>
      <c r="L66" s="182">
        <f>'Optimasi Stage'!$M$18-('Frekuensi dulu'!K66/'Optimasi Stage'!$C$25)</f>
        <v>2154.5294377413502</v>
      </c>
      <c r="M66" s="182">
        <f>2.083*(100/'Optimasi Stage'!$M$14)^1.85*(I66/34.3)^1.85/('Optimasi Stage'!$F$19^4.8655)</f>
        <v>17.748762034726091</v>
      </c>
      <c r="N66" s="182">
        <f>(M66/1000)*'Optimasi Stage'!$M$18</f>
        <v>72.716678056272798</v>
      </c>
      <c r="O66" s="182">
        <f>'Optimasi Stage'!$F$21/'Optimasi Stage'!$C$25</f>
        <v>548.60281692862213</v>
      </c>
      <c r="P66" s="183">
        <f t="shared" si="28"/>
        <v>2775.848932726245</v>
      </c>
      <c r="Q66" s="182">
        <f>P66*'Optimasi Stage'!$C$25</f>
        <v>1214.3644241275879</v>
      </c>
      <c r="R66" s="183">
        <f t="shared" si="29"/>
        <v>2064.1466719696209</v>
      </c>
      <c r="S66" s="187">
        <f t="shared" si="30"/>
        <v>2025.0000000000002</v>
      </c>
      <c r="T66" s="188">
        <f t="shared" si="31"/>
        <v>10.125000000000002</v>
      </c>
      <c r="U66" s="189">
        <f t="shared" si="26"/>
        <v>1771.8040287632239</v>
      </c>
    </row>
    <row r="67" spans="8:21" ht="15" customHeight="1">
      <c r="I67" s="190"/>
      <c r="J67" s="191"/>
      <c r="K67" s="191"/>
      <c r="L67" s="191"/>
      <c r="M67" s="191"/>
      <c r="N67" s="191"/>
      <c r="O67" s="191"/>
      <c r="P67" s="192"/>
      <c r="Q67" s="191"/>
      <c r="R67" s="192"/>
      <c r="S67" s="193"/>
      <c r="T67" s="194"/>
      <c r="U67" s="195"/>
    </row>
    <row r="68" spans="8:21" ht="15.75">
      <c r="J68" s="86"/>
      <c r="K68" s="87"/>
      <c r="L68" s="67"/>
      <c r="M68" s="86"/>
      <c r="N68" s="86"/>
    </row>
    <row r="69" spans="8:21" ht="15" customHeight="1">
      <c r="H69" s="1" t="s">
        <v>139</v>
      </c>
      <c r="I69" s="1149" t="s">
        <v>122</v>
      </c>
      <c r="J69" s="1149" t="s">
        <v>44</v>
      </c>
      <c r="K69" s="1147" t="s">
        <v>96</v>
      </c>
      <c r="L69" s="1147" t="s">
        <v>97</v>
      </c>
      <c r="M69" s="1147" t="s">
        <v>123</v>
      </c>
      <c r="N69" s="1147" t="s">
        <v>99</v>
      </c>
      <c r="O69" s="1147" t="s">
        <v>100</v>
      </c>
      <c r="P69" s="1147" t="s">
        <v>101</v>
      </c>
      <c r="Q69" s="1147" t="s">
        <v>124</v>
      </c>
      <c r="R69" s="1147" t="s">
        <v>125</v>
      </c>
      <c r="S69" s="1145" t="s">
        <v>126</v>
      </c>
      <c r="T69" s="1147" t="s">
        <v>127</v>
      </c>
      <c r="U69" s="111" t="s">
        <v>128</v>
      </c>
    </row>
    <row r="70" spans="8:21" ht="15" customHeight="1">
      <c r="H70" s="1" t="s">
        <v>146</v>
      </c>
      <c r="I70" s="1150"/>
      <c r="J70" s="1150"/>
      <c r="K70" s="1148"/>
      <c r="L70" s="1148"/>
      <c r="M70" s="1148"/>
      <c r="N70" s="1148"/>
      <c r="O70" s="1148"/>
      <c r="P70" s="1148"/>
      <c r="Q70" s="1148"/>
      <c r="R70" s="1148"/>
      <c r="S70" s="1146"/>
      <c r="T70" s="1148"/>
      <c r="U70" s="111">
        <v>200</v>
      </c>
    </row>
    <row r="71" spans="8:21" ht="15.75">
      <c r="I71" s="61">
        <f>(52/60)*I3</f>
        <v>1733.3333333333335</v>
      </c>
      <c r="J71" s="63">
        <f t="shared" ref="J71:J83" si="32">((-0.2+(SQRT(0.04-3.2*((I71/E$5)-1))))/1.6)*$E$4</f>
        <v>1961.9877353645361</v>
      </c>
      <c r="K71" s="63">
        <f>J71-(('Optimasi Stage'!$M$5-'Optimasi Stage'!$M$18)*'Optimasi Stage'!$C$25)</f>
        <v>949.23318351853595</v>
      </c>
      <c r="L71" s="63">
        <f>'Optimasi Stage'!$M$18-('Frekuensi dulu'!K71/'Optimasi Stage'!$C$25)</f>
        <v>1927.2000066650307</v>
      </c>
      <c r="M71" s="63">
        <f>2.083*(100/'Optimasi Stage'!$M$14)^1.85*(I71/34.3)^1.85/('Optimasi Stage'!$F$19^4.8655)</f>
        <v>10.187100600438963</v>
      </c>
      <c r="N71" s="63">
        <f>(M71/1000)*'Optimasi Stage'!$M$18</f>
        <v>41.736551159998434</v>
      </c>
      <c r="O71" s="63">
        <f>'Optimasi Stage'!$F$21/'Optimasi Stage'!$C$25</f>
        <v>548.60281692862213</v>
      </c>
      <c r="P71" s="63">
        <f>L71+N71+O71</f>
        <v>2517.5393747536514</v>
      </c>
      <c r="Q71" s="63">
        <f>P71*'Optimasi Stage'!$C$25</f>
        <v>1101.3604584161096</v>
      </c>
      <c r="R71" s="63">
        <f>K71+Q71</f>
        <v>2050.5936419346453</v>
      </c>
      <c r="S71" s="60">
        <f>((52/60)^2)*S3</f>
        <v>2914.3111111111111</v>
      </c>
      <c r="T71" s="62">
        <f>S71/$U$19</f>
        <v>14.571555555555555</v>
      </c>
      <c r="U71" s="68">
        <f t="shared" ref="U71:U83" si="33">R71-((E$2*T71/808.3141)*U$2)</f>
        <v>1629.8640550961295</v>
      </c>
    </row>
    <row r="72" spans="8:21" ht="15.75">
      <c r="I72" s="61">
        <f t="shared" ref="I72:I83" si="34">(52/60)*I4</f>
        <v>1776.6666666666667</v>
      </c>
      <c r="J72" s="63">
        <f t="shared" si="32"/>
        <v>1955.0309841953031</v>
      </c>
      <c r="K72" s="63">
        <f>J72-(('Optimasi Stage'!$M$5-'Optimasi Stage'!$M$18)*'Optimasi Stage'!$C$25)</f>
        <v>942.27643234930292</v>
      </c>
      <c r="L72" s="63">
        <f>'Optimasi Stage'!$M$18-('Frekuensi dulu'!K72/'Optimasi Stage'!$C$25)</f>
        <v>1943.1020620321674</v>
      </c>
      <c r="M72" s="63">
        <f>2.083*(100/'Optimasi Stage'!$M$14)^1.85*(I72/34.3)^1.85/('Optimasi Stage'!$F$19^4.8655)</f>
        <v>10.663253795106161</v>
      </c>
      <c r="N72" s="63">
        <f>(M72/1000)*'Optimasi Stage'!$M$18</f>
        <v>43.687350798549943</v>
      </c>
      <c r="O72" s="63">
        <f>'Optimasi Stage'!$F$21/'Optimasi Stage'!$C$25</f>
        <v>548.60281692862213</v>
      </c>
      <c r="P72" s="63">
        <f t="shared" ref="P72:P83" si="35">L72+N72+O72</f>
        <v>2535.3922297593394</v>
      </c>
      <c r="Q72" s="63">
        <f>P72*'Optimasi Stage'!$C$25</f>
        <v>1109.1706355955728</v>
      </c>
      <c r="R72" s="63">
        <f t="shared" ref="R72:R83" si="36">K72+Q72</f>
        <v>2051.4470679448759</v>
      </c>
      <c r="S72" s="60">
        <f t="shared" ref="S72:S83" si="37">((52/60)^2)*S4</f>
        <v>2824.1777777777779</v>
      </c>
      <c r="T72" s="62">
        <f t="shared" ref="T72:T83" si="38">S72/$U$19</f>
        <v>14.12088888888889</v>
      </c>
      <c r="U72" s="68">
        <f t="shared" si="33"/>
        <v>1643.729736369407</v>
      </c>
    </row>
    <row r="73" spans="8:21" ht="15.75">
      <c r="I73" s="61">
        <f t="shared" si="34"/>
        <v>1820</v>
      </c>
      <c r="J73" s="63">
        <f t="shared" si="32"/>
        <v>1948.0524927801014</v>
      </c>
      <c r="K73" s="63">
        <f>J73-(('Optimasi Stage'!$M$5-'Optimasi Stage'!$M$18)*'Optimasi Stage'!$C$25)</f>
        <v>935.29794093410123</v>
      </c>
      <c r="L73" s="63">
        <f>'Optimasi Stage'!$M$18-('Frekuensi dulu'!K73/'Optimasi Stage'!$C$25)</f>
        <v>1959.0538122333833</v>
      </c>
      <c r="M73" s="63">
        <f>2.083*(100/'Optimasi Stage'!$M$14)^1.85*(I73/34.3)^1.85/('Optimasi Stage'!$F$19^4.8655)</f>
        <v>11.149382070084252</v>
      </c>
      <c r="N73" s="63">
        <f>(M73/1000)*'Optimasi Stage'!$M$18</f>
        <v>45.679018341135183</v>
      </c>
      <c r="O73" s="63">
        <f>'Optimasi Stage'!$F$21/'Optimasi Stage'!$C$25</f>
        <v>548.60281692862213</v>
      </c>
      <c r="P73" s="63">
        <f t="shared" si="35"/>
        <v>2553.3356475031405</v>
      </c>
      <c r="Q73" s="63">
        <f>P73*'Optimasi Stage'!$C$25</f>
        <v>1117.02043170603</v>
      </c>
      <c r="R73" s="63">
        <f t="shared" si="36"/>
        <v>2052.3183726401312</v>
      </c>
      <c r="S73" s="60">
        <f t="shared" si="37"/>
        <v>2749.0666666666671</v>
      </c>
      <c r="T73" s="62">
        <f t="shared" si="38"/>
        <v>13.745333333333335</v>
      </c>
      <c r="U73" s="68">
        <f t="shared" si="33"/>
        <v>1655.4445871172013</v>
      </c>
    </row>
    <row r="74" spans="8:21" ht="15.75">
      <c r="I74" s="61">
        <f t="shared" si="34"/>
        <v>1863.3333333333335</v>
      </c>
      <c r="J74" s="63">
        <f t="shared" si="32"/>
        <v>1941.0520560174734</v>
      </c>
      <c r="K74" s="63">
        <f>J74-(('Optimasi Stage'!$M$5-'Optimasi Stage'!$M$18)*'Optimasi Stage'!$C$25)</f>
        <v>928.29750417147329</v>
      </c>
      <c r="L74" s="63">
        <f>'Optimasi Stage'!$M$18-('Frekuensi dulu'!K74/'Optimasi Stage'!$C$25)</f>
        <v>1975.0557260988348</v>
      </c>
      <c r="M74" s="63">
        <f>2.083*(100/'Optimasi Stage'!$M$14)^1.85*(I74/34.3)^1.85/('Optimasi Stage'!$F$19^4.8655)</f>
        <v>11.645449430207847</v>
      </c>
      <c r="N74" s="63">
        <f>(M74/1000)*'Optimasi Stage'!$M$18</f>
        <v>47.711406315561547</v>
      </c>
      <c r="O74" s="63">
        <f>'Optimasi Stage'!$F$21/'Optimasi Stage'!$C$25</f>
        <v>548.60281692862213</v>
      </c>
      <c r="P74" s="116">
        <f t="shared" si="35"/>
        <v>2571.3699493430186</v>
      </c>
      <c r="Q74" s="63">
        <f>P74*'Optimasi Stage'!$C$25</f>
        <v>1124.9099873335467</v>
      </c>
      <c r="R74" s="116">
        <f t="shared" si="36"/>
        <v>2053.2074915050198</v>
      </c>
      <c r="S74" s="60">
        <f t="shared" si="37"/>
        <v>2688.9777777777776</v>
      </c>
      <c r="T74" s="62">
        <f t="shared" si="38"/>
        <v>13.444888888888888</v>
      </c>
      <c r="U74" s="119">
        <f t="shared" si="33"/>
        <v>1665.0085428241214</v>
      </c>
    </row>
    <row r="75" spans="8:21" ht="15.75">
      <c r="I75" s="70">
        <f t="shared" si="34"/>
        <v>1906.6666666666667</v>
      </c>
      <c r="J75" s="70">
        <f t="shared" si="32"/>
        <v>1934.0294655605921</v>
      </c>
      <c r="K75" s="70">
        <f>J75-(('Optimasi Stage'!$M$5-'Optimasi Stage'!$M$18)*'Optimasi Stage'!$C$25)</f>
        <v>921.274913714592</v>
      </c>
      <c r="L75" s="70">
        <f>'Optimasi Stage'!$M$18-('Frekuensi dulu'!K75/'Optimasi Stage'!$C$25)</f>
        <v>1991.1082798770894</v>
      </c>
      <c r="M75" s="70">
        <f>2.083*(100/'Optimasi Stage'!$M$14)^1.85*(I75/34.3)^1.85/('Optimasi Stage'!$F$19^4.8655)</f>
        <v>12.151420852860486</v>
      </c>
      <c r="N75" s="70">
        <f>(M75/1000)*'Optimasi Stage'!$M$18</f>
        <v>49.784371234169413</v>
      </c>
      <c r="O75" s="70">
        <f>'Optimasi Stage'!$F$21/'Optimasi Stage'!$C$25</f>
        <v>548.60281692862213</v>
      </c>
      <c r="P75" s="70">
        <f t="shared" si="35"/>
        <v>2589.495468039881</v>
      </c>
      <c r="Q75" s="70">
        <f>P75*'Optimasi Stage'!$C$25</f>
        <v>1132.8394480526902</v>
      </c>
      <c r="R75" s="70">
        <f t="shared" si="36"/>
        <v>2054.1143617672824</v>
      </c>
      <c r="S75" s="71">
        <f t="shared" si="37"/>
        <v>2598.8444444444444</v>
      </c>
      <c r="T75" s="72">
        <f t="shared" si="38"/>
        <v>12.994222222222222</v>
      </c>
      <c r="U75" s="73">
        <f t="shared" si="33"/>
        <v>1678.9276683494309</v>
      </c>
    </row>
    <row r="76" spans="8:21" ht="15.75">
      <c r="I76" s="71">
        <f t="shared" si="34"/>
        <v>1950</v>
      </c>
      <c r="J76" s="70">
        <f t="shared" si="32"/>
        <v>1926.9845097449104</v>
      </c>
      <c r="K76" s="70">
        <f>J76-(('Optimasi Stage'!$M$5-'Optimasi Stage'!$M$18)*'Optimasi Stage'!$C$25)</f>
        <v>914.22995789891024</v>
      </c>
      <c r="L76" s="70">
        <f>'Optimasi Stage'!$M$18-('Frekuensi dulu'!K76/'Optimasi Stage'!$C$25)</f>
        <v>2007.2119574005092</v>
      </c>
      <c r="M76" s="70">
        <f>2.083*(100/'Optimasi Stage'!$M$14)^1.85*(I76/34.3)^1.85/('Optimasi Stage'!$F$19^4.8655)</f>
        <v>12.667262239969391</v>
      </c>
      <c r="N76" s="70">
        <f>(M76/1000)*'Optimasi Stage'!$M$18</f>
        <v>51.897773397154602</v>
      </c>
      <c r="O76" s="70">
        <f>'Optimasi Stage'!$F$21/'Optimasi Stage'!$C$25</f>
        <v>548.60281692862213</v>
      </c>
      <c r="P76" s="70">
        <f t="shared" si="35"/>
        <v>2607.7125477262862</v>
      </c>
      <c r="Q76" s="70">
        <f>P76*'Optimasi Stage'!$C$25</f>
        <v>1140.8089644128406</v>
      </c>
      <c r="R76" s="70">
        <f t="shared" si="36"/>
        <v>2055.0389223117509</v>
      </c>
      <c r="S76" s="71">
        <f t="shared" si="37"/>
        <v>2523.7333333333336</v>
      </c>
      <c r="T76" s="72">
        <f t="shared" si="38"/>
        <v>12.618666666666668</v>
      </c>
      <c r="U76" s="73">
        <f t="shared" si="33"/>
        <v>1690.6957749464382</v>
      </c>
    </row>
    <row r="77" spans="8:21" ht="15.75">
      <c r="I77" s="70">
        <f t="shared" si="34"/>
        <v>1993.3333333333335</v>
      </c>
      <c r="J77" s="70">
        <f t="shared" si="32"/>
        <v>1919.9169735137218</v>
      </c>
      <c r="K77" s="70">
        <f>J77-(('Optimasi Stage'!$M$5-'Optimasi Stage'!$M$18)*'Optimasi Stage'!$C$25)</f>
        <v>907.16242166772167</v>
      </c>
      <c r="L77" s="70">
        <f>'Optimasi Stage'!$M$18-('Frekuensi dulu'!K77/'Optimasi Stage'!$C$25)</f>
        <v>2023.3672502554055</v>
      </c>
      <c r="M77" s="70">
        <f>2.083*(100/'Optimasi Stage'!$M$14)^1.85*(I77/34.3)^1.85/('Optimasi Stage'!$F$19^4.8655)</f>
        <v>13.192940373394537</v>
      </c>
      <c r="N77" s="70">
        <f>(M77/1000)*'Optimasi Stage'!$M$18</f>
        <v>54.051476709797413</v>
      </c>
      <c r="O77" s="70">
        <f>'Optimasi Stage'!$F$21/'Optimasi Stage'!$C$25</f>
        <v>548.60281692862213</v>
      </c>
      <c r="P77" s="70">
        <f t="shared" si="35"/>
        <v>2626.0215438938249</v>
      </c>
      <c r="Q77" s="70">
        <f>P77*'Optimasi Stage'!$C$25</f>
        <v>1148.8186919326704</v>
      </c>
      <c r="R77" s="70">
        <f t="shared" si="36"/>
        <v>2055.9811136003918</v>
      </c>
      <c r="S77" s="71">
        <f t="shared" si="37"/>
        <v>2433.6000000000004</v>
      </c>
      <c r="T77" s="72">
        <f t="shared" si="38"/>
        <v>12.168000000000001</v>
      </c>
      <c r="U77" s="73">
        <f t="shared" si="33"/>
        <v>1704.650221498126</v>
      </c>
    </row>
    <row r="78" spans="8:21" ht="15.75">
      <c r="I78" s="70">
        <f t="shared" si="34"/>
        <v>2036.6666666666667</v>
      </c>
      <c r="J78" s="70">
        <f t="shared" si="32"/>
        <v>1912.8266383415619</v>
      </c>
      <c r="K78" s="70">
        <f>J78-(('Optimasi Stage'!$M$5-'Optimasi Stage'!$M$18)*'Optimasi Stage'!$C$25)</f>
        <v>900.07208649556173</v>
      </c>
      <c r="L78" s="70">
        <f>'Optimasi Stage'!$M$18-('Frekuensi dulu'!K78/'Optimasi Stage'!$C$25)</f>
        <v>2039.5746579571351</v>
      </c>
      <c r="M78" s="70">
        <f>2.083*(100/'Optimasi Stage'!$M$14)^1.85*(I78/34.3)^1.85/('Optimasi Stage'!$F$19^4.8655)</f>
        <v>13.728422873402362</v>
      </c>
      <c r="N78" s="70">
        <f>(M78/1000)*'Optimasi Stage'!$M$18</f>
        <v>56.245348512329471</v>
      </c>
      <c r="O78" s="70">
        <f>'Optimasi Stage'!$F$21/'Optimasi Stage'!$C$25</f>
        <v>548.60281692862213</v>
      </c>
      <c r="P78" s="70">
        <f t="shared" si="35"/>
        <v>2644.4228233980866</v>
      </c>
      <c r="Q78" s="70">
        <f>P78*'Optimasi Stage'!$C$25</f>
        <v>1156.8687911023169</v>
      </c>
      <c r="R78" s="70">
        <f t="shared" si="36"/>
        <v>2056.9408775978786</v>
      </c>
      <c r="S78" s="71">
        <f t="shared" si="37"/>
        <v>2328.4444444444448</v>
      </c>
      <c r="T78" s="72">
        <f t="shared" si="38"/>
        <v>11.642222222222223</v>
      </c>
      <c r="U78" s="73">
        <f t="shared" si="33"/>
        <v>1720.7909499691675</v>
      </c>
    </row>
    <row r="79" spans="8:21" ht="15" customHeight="1">
      <c r="I79" s="78">
        <f t="shared" si="34"/>
        <v>2080</v>
      </c>
      <c r="J79" s="77">
        <f t="shared" si="32"/>
        <v>1905.7132821553687</v>
      </c>
      <c r="K79" s="77">
        <f>J79-(('Optimasi Stage'!$M$5-'Optimasi Stage'!$M$18)*'Optimasi Stage'!$C$25)</f>
        <v>892.95873030936855</v>
      </c>
      <c r="L79" s="77">
        <f>'Optimasi Stage'!$M$18-('Frekuensi dulu'!K79/'Optimasi Stage'!$C$25)</f>
        <v>2055.8346881303105</v>
      </c>
      <c r="M79" s="77">
        <f>2.083*(100/'Optimasi Stage'!$M$14)^1.85*(I79/34.3)^1.85/('Optimasi Stage'!$F$19^4.8655)</f>
        <v>14.273678159949675</v>
      </c>
      <c r="N79" s="77">
        <f>(M79/1000)*'Optimasi Stage'!$M$18</f>
        <v>58.47925942131382</v>
      </c>
      <c r="O79" s="77">
        <f>'Optimasi Stage'!$F$21/'Optimasi Stage'!$C$25</f>
        <v>548.60281692862213</v>
      </c>
      <c r="P79" s="77">
        <f t="shared" si="35"/>
        <v>2662.9167644802465</v>
      </c>
      <c r="Q79" s="77">
        <f>P79*'Optimasi Stage'!$C$25</f>
        <v>1164.9594273928262</v>
      </c>
      <c r="R79" s="77">
        <f t="shared" si="36"/>
        <v>2057.9181577021945</v>
      </c>
      <c r="S79" s="78">
        <f t="shared" si="37"/>
        <v>2253.3333333333335</v>
      </c>
      <c r="T79" s="79">
        <f t="shared" si="38"/>
        <v>11.266666666666667</v>
      </c>
      <c r="U79" s="80">
        <f t="shared" si="33"/>
        <v>1732.6117761260225</v>
      </c>
    </row>
    <row r="80" spans="8:21" ht="15" customHeight="1">
      <c r="I80" s="70">
        <f t="shared" si="34"/>
        <v>2123.3333333333335</v>
      </c>
      <c r="J80" s="70">
        <f t="shared" si="32"/>
        <v>1898.5766792533275</v>
      </c>
      <c r="K80" s="70">
        <f>J80-(('Optimasi Stage'!$M$5-'Optimasi Stage'!$M$18)*'Optimasi Stage'!$C$25)</f>
        <v>885.82212740732734</v>
      </c>
      <c r="L80" s="70">
        <f>'Optimasi Stage'!$M$18-('Frekuensi dulu'!K80/'Optimasi Stage'!$C$25)</f>
        <v>2072.1478566943142</v>
      </c>
      <c r="M80" s="70">
        <f>2.083*(100/'Optimasi Stage'!$M$14)^1.85*(I80/34.3)^1.85/('Optimasi Stage'!$F$19^4.8655)</f>
        <v>14.828675416531794</v>
      </c>
      <c r="N80" s="70">
        <f>(M80/1000)*'Optimasi Stage'!$M$18</f>
        <v>60.753083181530762</v>
      </c>
      <c r="O80" s="70">
        <f>'Optimasi Stage'!$F$21/'Optimasi Stage'!$C$25</f>
        <v>548.60281692862213</v>
      </c>
      <c r="P80" s="70">
        <f t="shared" si="35"/>
        <v>2681.5037568044672</v>
      </c>
      <c r="Q80" s="70">
        <f>P80*'Optimasi Stage'!$C$25</f>
        <v>1173.0907712725157</v>
      </c>
      <c r="R80" s="70">
        <f t="shared" si="36"/>
        <v>2058.9128986798432</v>
      </c>
      <c r="S80" s="71">
        <f t="shared" si="37"/>
        <v>2178.2222222222226</v>
      </c>
      <c r="T80" s="72">
        <f t="shared" si="38"/>
        <v>10.891111111111114</v>
      </c>
      <c r="U80" s="73">
        <f t="shared" si="33"/>
        <v>1744.4500631562103</v>
      </c>
    </row>
    <row r="81" spans="8:21" ht="15.75">
      <c r="I81" s="70">
        <f t="shared" si="34"/>
        <v>2166.6666666666665</v>
      </c>
      <c r="J81" s="70">
        <f t="shared" si="32"/>
        <v>1891.416600221308</v>
      </c>
      <c r="K81" s="70">
        <f>J81-(('Optimasi Stage'!$M$5-'Optimasi Stage'!$M$18)*'Optimasi Stage'!$C$25)</f>
        <v>878.6620483753079</v>
      </c>
      <c r="L81" s="70">
        <f>'Optimasi Stage'!$M$18-('Frekuensi dulu'!K81/'Optimasi Stage'!$C$25)</f>
        <v>2088.5146880543034</v>
      </c>
      <c r="M81" s="70">
        <f>2.083*(100/'Optimasi Stage'!$M$14)^1.85*(I81/34.3)^1.85/('Optimasi Stage'!$F$19^4.8655)</f>
        <v>15.393384556376322</v>
      </c>
      <c r="N81" s="70">
        <f>(M81/1000)*'Optimasi Stage'!$M$18</f>
        <v>63.066696527473788</v>
      </c>
      <c r="O81" s="70">
        <f>'Optimasi Stage'!$F$21/'Optimasi Stage'!$C$25</f>
        <v>548.60281692862213</v>
      </c>
      <c r="P81" s="70">
        <f t="shared" si="35"/>
        <v>2700.1842015103994</v>
      </c>
      <c r="Q81" s="70">
        <f>P81*'Optimasi Stage'!$C$25</f>
        <v>1181.2629982299413</v>
      </c>
      <c r="R81" s="70">
        <f t="shared" si="36"/>
        <v>2059.925046605249</v>
      </c>
      <c r="S81" s="71">
        <f t="shared" si="37"/>
        <v>2103.1111111111113</v>
      </c>
      <c r="T81" s="72">
        <f t="shared" si="38"/>
        <v>10.515555555555556</v>
      </c>
      <c r="U81" s="73">
        <f t="shared" si="33"/>
        <v>1756.3057571341551</v>
      </c>
    </row>
    <row r="82" spans="8:21" ht="15.75">
      <c r="I82" s="61">
        <f t="shared" si="34"/>
        <v>2210</v>
      </c>
      <c r="J82" s="63">
        <f t="shared" si="32"/>
        <v>1884.2328118468181</v>
      </c>
      <c r="K82" s="63">
        <f>J82-(('Optimasi Stage'!$M$5-'Optimasi Stage'!$M$18)*'Optimasi Stage'!$C$25)</f>
        <v>871.47826000081795</v>
      </c>
      <c r="L82" s="63">
        <f>'Optimasi Stage'!$M$18-('Frekuensi dulu'!K82/'Optimasi Stage'!$C$25)</f>
        <v>2104.9357152979046</v>
      </c>
      <c r="M82" s="63">
        <f>2.083*(100/'Optimasi Stage'!$M$14)^1.85*(I82/34.3)^1.85/('Optimasi Stage'!$F$19^4.8655)</f>
        <v>15.967776190785912</v>
      </c>
      <c r="N82" s="63">
        <f>(M82/1000)*'Optimasi Stage'!$M$18</f>
        <v>65.419979053649882</v>
      </c>
      <c r="O82" s="63">
        <f>'Optimasi Stage'!$F$21/'Optimasi Stage'!$C$25</f>
        <v>548.60281692862213</v>
      </c>
      <c r="P82" s="82">
        <f t="shared" si="35"/>
        <v>2718.9585112801769</v>
      </c>
      <c r="Q82" s="63">
        <f>P82*'Optimasi Stage'!$C$25</f>
        <v>1189.4762888032067</v>
      </c>
      <c r="R82" s="82">
        <f t="shared" si="36"/>
        <v>2060.9545488040249</v>
      </c>
      <c r="S82" s="60">
        <f t="shared" si="37"/>
        <v>1952.8888888888891</v>
      </c>
      <c r="T82" s="62">
        <f t="shared" si="38"/>
        <v>9.7644444444444449</v>
      </c>
      <c r="U82" s="85">
        <f t="shared" si="33"/>
        <v>1779.0223514380091</v>
      </c>
    </row>
    <row r="83" spans="8:21" ht="15.75">
      <c r="I83" s="181">
        <f t="shared" si="34"/>
        <v>2253.3333333333335</v>
      </c>
      <c r="J83" s="182">
        <f t="shared" si="32"/>
        <v>1877.0250770303689</v>
      </c>
      <c r="K83" s="182">
        <f>J83-(('Optimasi Stage'!$M$5-'Optimasi Stage'!$M$18)*'Optimasi Stage'!$C$25)</f>
        <v>864.27052518436881</v>
      </c>
      <c r="L83" s="182">
        <f>'Optimasi Stage'!$M$18-('Frekuensi dulu'!K83/'Optimasi Stage'!$C$25)</f>
        <v>2121.411480397815</v>
      </c>
      <c r="M83" s="182">
        <f>2.083*(100/'Optimasi Stage'!$M$14)^1.85*(I83/34.3)^1.85/('Optimasi Stage'!$F$19^4.8655)</f>
        <v>16.551821599453156</v>
      </c>
      <c r="N83" s="182">
        <f>(M83/1000)*'Optimasi Stage'!$M$18</f>
        <v>67.812813092959573</v>
      </c>
      <c r="O83" s="182">
        <f>'Optimasi Stage'!$F$21/'Optimasi Stage'!$C$25</f>
        <v>548.60281692862213</v>
      </c>
      <c r="P83" s="183">
        <f t="shared" si="35"/>
        <v>2737.8271104193964</v>
      </c>
      <c r="Q83" s="182">
        <f>P83*'Optimasi Stage'!$C$25</f>
        <v>1197.7308286153889</v>
      </c>
      <c r="R83" s="183">
        <f t="shared" si="36"/>
        <v>2062.0013537997575</v>
      </c>
      <c r="S83" s="187">
        <f t="shared" si="37"/>
        <v>1877.7777777777778</v>
      </c>
      <c r="T83" s="188">
        <f t="shared" si="38"/>
        <v>9.3888888888888893</v>
      </c>
      <c r="U83" s="189">
        <f t="shared" si="33"/>
        <v>1790.912702486281</v>
      </c>
    </row>
    <row r="84" spans="8:21" ht="15.75">
      <c r="I84" s="190"/>
      <c r="J84" s="191"/>
      <c r="K84" s="191"/>
      <c r="L84" s="191"/>
      <c r="M84" s="191"/>
      <c r="N84" s="191"/>
      <c r="O84" s="191"/>
      <c r="P84" s="192"/>
      <c r="Q84" s="191"/>
      <c r="R84" s="192"/>
      <c r="S84" s="193"/>
      <c r="T84" s="194"/>
      <c r="U84" s="195"/>
    </row>
    <row r="85" spans="8:21" ht="15.75">
      <c r="J85" s="86"/>
      <c r="K85" s="87"/>
      <c r="L85" s="67"/>
      <c r="M85" s="86"/>
      <c r="N85" s="86"/>
    </row>
    <row r="86" spans="8:21" ht="15" customHeight="1">
      <c r="H86" s="1" t="s">
        <v>154</v>
      </c>
      <c r="I86" s="1149" t="s">
        <v>122</v>
      </c>
      <c r="J86" s="1149" t="s">
        <v>44</v>
      </c>
      <c r="K86" s="1147" t="s">
        <v>96</v>
      </c>
      <c r="L86" s="1147" t="s">
        <v>97</v>
      </c>
      <c r="M86" s="1147" t="s">
        <v>123</v>
      </c>
      <c r="N86" s="1147" t="s">
        <v>99</v>
      </c>
      <c r="O86" s="1147" t="s">
        <v>100</v>
      </c>
      <c r="P86" s="1147" t="s">
        <v>101</v>
      </c>
      <c r="Q86" s="1147" t="s">
        <v>124</v>
      </c>
      <c r="R86" s="1147" t="s">
        <v>125</v>
      </c>
      <c r="S86" s="1145" t="s">
        <v>126</v>
      </c>
      <c r="T86" s="1147" t="s">
        <v>127</v>
      </c>
      <c r="U86" s="111" t="s">
        <v>128</v>
      </c>
    </row>
    <row r="87" spans="8:21" ht="15" customHeight="1">
      <c r="H87" s="1" t="s">
        <v>146</v>
      </c>
      <c r="I87" s="1150"/>
      <c r="J87" s="1150"/>
      <c r="K87" s="1148"/>
      <c r="L87" s="1148"/>
      <c r="M87" s="1148"/>
      <c r="N87" s="1148"/>
      <c r="O87" s="1148"/>
      <c r="P87" s="1148"/>
      <c r="Q87" s="1148"/>
      <c r="R87" s="1148"/>
      <c r="S87" s="1146"/>
      <c r="T87" s="1148"/>
      <c r="U87" s="111">
        <v>200</v>
      </c>
    </row>
    <row r="88" spans="8:21" ht="15.75">
      <c r="I88" s="61">
        <f>(50/60)*I3</f>
        <v>1666.6666666666667</v>
      </c>
      <c r="J88" s="63">
        <f t="shared" ref="J88:J100" si="39">((-0.2+(SQRT(0.04-3.2*((I88/E$5)-1))))/1.6)*$E$4</f>
        <v>1972.6484422030417</v>
      </c>
      <c r="K88" s="63">
        <f>J88-(('Optimasi Stage'!$M$5-'Optimasi Stage'!$M$18)*'Optimasi Stage'!$C$25)</f>
        <v>959.89389035704153</v>
      </c>
      <c r="L88" s="63">
        <f>'Optimasi Stage'!$M$18-('Frekuensi dulu'!K88/'Optimasi Stage'!$C$25)</f>
        <v>1902.8312824898044</v>
      </c>
      <c r="M88" s="63">
        <f>2.083*(100/'Optimasi Stage'!$M$14)^1.85*(I88/34.3)^1.85/('Optimasi Stage'!$F$19^4.8655)</f>
        <v>9.4741207857285072</v>
      </c>
      <c r="N88" s="63">
        <f>(M88/1000)*'Optimasi Stage'!$M$18</f>
        <v>38.815472859129692</v>
      </c>
      <c r="O88" s="63">
        <f>'Optimasi Stage'!$F$21/'Optimasi Stage'!$C$25</f>
        <v>548.60281692862213</v>
      </c>
      <c r="P88" s="63">
        <f>L88+N88+O88</f>
        <v>2490.2495722775561</v>
      </c>
      <c r="Q88" s="63">
        <f>P88*'Optimasi Stage'!$C$25</f>
        <v>1089.4218529402376</v>
      </c>
      <c r="R88" s="63">
        <f>K88+Q88</f>
        <v>2049.3157432972794</v>
      </c>
      <c r="S88" s="60">
        <f>((50/60)^2)*S3</f>
        <v>2694.4444444444443</v>
      </c>
      <c r="T88" s="62">
        <f>S88/$U$19</f>
        <v>13.472222222222221</v>
      </c>
      <c r="U88" s="68">
        <f t="shared" ref="U88:U100" si="40">R88-((E$2*T88/808.3141)*U$2)</f>
        <v>1660.327589785338</v>
      </c>
    </row>
    <row r="89" spans="8:21" ht="15.75">
      <c r="I89" s="61">
        <f t="shared" ref="I89:I100" si="41">(50/60)*I4</f>
        <v>1708.3333333333335</v>
      </c>
      <c r="J89" s="63">
        <f t="shared" si="39"/>
        <v>1965.9914354436041</v>
      </c>
      <c r="K89" s="63">
        <f>J89-(('Optimasi Stage'!$M$5-'Optimasi Stage'!$M$18)*'Optimasi Stage'!$C$25)</f>
        <v>953.23688359760399</v>
      </c>
      <c r="L89" s="63">
        <f>'Optimasi Stage'!$M$18-('Frekuensi dulu'!K89/'Optimasi Stage'!$C$25)</f>
        <v>1918.0481685753889</v>
      </c>
      <c r="M89" s="63">
        <f>2.083*(100/'Optimasi Stage'!$M$14)^1.85*(I89/34.3)^1.85/('Optimasi Stage'!$F$19^4.8655)</f>
        <v>9.9169487360672974</v>
      </c>
      <c r="N89" s="63">
        <f>(M89/1000)*'Optimasi Stage'!$M$18</f>
        <v>40.62973897166772</v>
      </c>
      <c r="O89" s="63">
        <f>'Optimasi Stage'!$F$21/'Optimasi Stage'!$C$25</f>
        <v>548.60281692862213</v>
      </c>
      <c r="P89" s="63">
        <f t="shared" ref="P89:P100" si="42">L89+N89+O89</f>
        <v>2507.2807244756787</v>
      </c>
      <c r="Q89" s="63">
        <f>P89*'Optimasi Stage'!$C$25</f>
        <v>1096.8725557099267</v>
      </c>
      <c r="R89" s="63">
        <f t="shared" ref="R89:R100" si="43">K89+Q89</f>
        <v>2050.1094393075309</v>
      </c>
      <c r="S89" s="60">
        <f t="shared" ref="S89:S100" si="44">((50/60)^2)*S4</f>
        <v>2611.1111111111113</v>
      </c>
      <c r="T89" s="62">
        <f t="shared" ref="T89:T100" si="45">S89/$U$19</f>
        <v>13.055555555555557</v>
      </c>
      <c r="U89" s="68">
        <f t="shared" si="40"/>
        <v>1673.1518472444125</v>
      </c>
    </row>
    <row r="90" spans="8:21" ht="15.75">
      <c r="I90" s="61">
        <f t="shared" si="41"/>
        <v>1750</v>
      </c>
      <c r="J90" s="63">
        <f t="shared" si="39"/>
        <v>1959.3146217114347</v>
      </c>
      <c r="K90" s="63">
        <f>J90-(('Optimasi Stage'!$M$5-'Optimasi Stage'!$M$18)*'Optimasi Stage'!$C$25)</f>
        <v>946.56006986543457</v>
      </c>
      <c r="L90" s="63">
        <f>'Optimasi Stage'!$M$18-('Frekuensi dulu'!K90/'Optimasi Stage'!$C$25)</f>
        <v>1933.3103303319549</v>
      </c>
      <c r="M90" s="63">
        <f>2.083*(100/'Optimasi Stage'!$M$14)^1.85*(I90/34.3)^1.85/('Optimasi Stage'!$F$19^4.8655)</f>
        <v>10.36905362588274</v>
      </c>
      <c r="N90" s="63">
        <f>(M90/1000)*'Optimasi Stage'!$M$18</f>
        <v>42.482012705241587</v>
      </c>
      <c r="O90" s="63">
        <f>'Optimasi Stage'!$F$21/'Optimasi Stage'!$C$25</f>
        <v>548.60281692862213</v>
      </c>
      <c r="P90" s="63">
        <f t="shared" si="42"/>
        <v>2524.3951599658185</v>
      </c>
      <c r="Q90" s="63">
        <f>P90*'Optimasi Stage'!$C$25</f>
        <v>1104.3596928351594</v>
      </c>
      <c r="R90" s="63">
        <f t="shared" si="43"/>
        <v>2050.9197627005942</v>
      </c>
      <c r="S90" s="60">
        <f t="shared" si="44"/>
        <v>2541.666666666667</v>
      </c>
      <c r="T90" s="62">
        <f t="shared" si="45"/>
        <v>12.708333333333336</v>
      </c>
      <c r="U90" s="68">
        <f t="shared" si="40"/>
        <v>1683.9876385114949</v>
      </c>
    </row>
    <row r="91" spans="8:21" ht="15.75">
      <c r="I91" s="61">
        <f t="shared" si="41"/>
        <v>1791.6666666666667</v>
      </c>
      <c r="J91" s="63">
        <f t="shared" si="39"/>
        <v>1952.6178231489068</v>
      </c>
      <c r="K91" s="63">
        <f>J91-(('Optimasi Stage'!$M$5-'Optimasi Stage'!$M$18)*'Optimasi Stage'!$C$25)</f>
        <v>939.8632713029067</v>
      </c>
      <c r="L91" s="63">
        <f>'Optimasi Stage'!$M$18-('Frekuensi dulu'!K91/'Optimasi Stage'!$C$25)</f>
        <v>1948.6181743144812</v>
      </c>
      <c r="M91" s="63">
        <f>2.083*(100/'Optimasi Stage'!$M$14)^1.85*(I91/34.3)^1.85/('Optimasi Stage'!$F$19^4.8655)</f>
        <v>10.830401979256811</v>
      </c>
      <c r="N91" s="63">
        <f>(M91/1000)*'Optimasi Stage'!$M$18</f>
        <v>44.372156909015153</v>
      </c>
      <c r="O91" s="63">
        <f>'Optimasi Stage'!$F$21/'Optimasi Stage'!$C$25</f>
        <v>548.60281692862213</v>
      </c>
      <c r="P91" s="116">
        <f t="shared" si="42"/>
        <v>2541.5931481521184</v>
      </c>
      <c r="Q91" s="63">
        <f>P91*'Optimasi Stage'!$C$25</f>
        <v>1111.8833821735047</v>
      </c>
      <c r="R91" s="116">
        <f t="shared" si="43"/>
        <v>2051.7466534764117</v>
      </c>
      <c r="S91" s="60">
        <f t="shared" si="44"/>
        <v>2486.1111111111113</v>
      </c>
      <c r="T91" s="62">
        <f t="shared" si="45"/>
        <v>12.430555555555557</v>
      </c>
      <c r="U91" s="119">
        <f t="shared" si="40"/>
        <v>1692.8349035865276</v>
      </c>
    </row>
    <row r="92" spans="8:21" ht="15" customHeight="1">
      <c r="I92" s="70">
        <f t="shared" si="41"/>
        <v>1833.3333333333335</v>
      </c>
      <c r="J92" s="70">
        <f t="shared" si="39"/>
        <v>1945.9008592205498</v>
      </c>
      <c r="K92" s="70">
        <f>J92-(('Optimasi Stage'!$M$5-'Optimasi Stage'!$M$18)*'Optimasi Stage'!$C$25)</f>
        <v>933.14630737454968</v>
      </c>
      <c r="L92" s="70">
        <f>'Optimasi Stage'!$M$18-('Frekuensi dulu'!K92/'Optimasi Stage'!$C$25)</f>
        <v>1963.9721131990837</v>
      </c>
      <c r="M92" s="70">
        <f>2.083*(100/'Optimasi Stage'!$M$14)^1.85*(I92/34.3)^1.85/('Optimasi Stage'!$F$19^4.8655)</f>
        <v>11.300961224753161</v>
      </c>
      <c r="N92" s="70">
        <f>(M92/1000)*'Optimasi Stage'!$M$18</f>
        <v>46.300038137813701</v>
      </c>
      <c r="O92" s="70">
        <f>'Optimasi Stage'!$F$21/'Optimasi Stage'!$C$25</f>
        <v>548.60281692862213</v>
      </c>
      <c r="P92" s="70">
        <f t="shared" si="42"/>
        <v>2558.8749682655198</v>
      </c>
      <c r="Q92" s="70">
        <f>P92*'Optimasi Stage'!$C$25</f>
        <v>1119.4437458815094</v>
      </c>
      <c r="R92" s="70">
        <f t="shared" si="43"/>
        <v>2052.590053256059</v>
      </c>
      <c r="S92" s="71">
        <f t="shared" si="44"/>
        <v>2402.7777777777783</v>
      </c>
      <c r="T92" s="72">
        <f t="shared" si="45"/>
        <v>12.013888888888891</v>
      </c>
      <c r="U92" s="73">
        <f t="shared" si="40"/>
        <v>1705.7088648149979</v>
      </c>
    </row>
    <row r="93" spans="8:21" ht="15" customHeight="1">
      <c r="I93" s="71">
        <f t="shared" si="41"/>
        <v>1875</v>
      </c>
      <c r="J93" s="70">
        <f t="shared" si="39"/>
        <v>1939.1635466562627</v>
      </c>
      <c r="K93" s="70">
        <f>J93-(('Optimasi Stage'!$M$5-'Optimasi Stage'!$M$18)*'Optimasi Stage'!$C$25)</f>
        <v>926.40899481026258</v>
      </c>
      <c r="L93" s="70">
        <f>'Optimasi Stage'!$M$18-('Frekuensi dulu'!K93/'Optimasi Stage'!$C$25)</f>
        <v>1979.3725659128195</v>
      </c>
      <c r="M93" s="70">
        <f>2.083*(100/'Optimasi Stage'!$M$14)^1.85*(I93/34.3)^1.85/('Optimasi Stage'!$F$19^4.8655)</f>
        <v>11.780699650771737</v>
      </c>
      <c r="N93" s="70">
        <f>(M93/1000)*'Optimasi Stage'!$M$18</f>
        <v>48.265526469211807</v>
      </c>
      <c r="O93" s="70">
        <f>'Optimasi Stage'!$F$21/'Optimasi Stage'!$C$25</f>
        <v>548.60281692862213</v>
      </c>
      <c r="P93" s="70">
        <f t="shared" si="42"/>
        <v>2576.2409093106535</v>
      </c>
      <c r="Q93" s="70">
        <f>P93*'Optimasi Stage'!$C$25</f>
        <v>1127.0409103914656</v>
      </c>
      <c r="R93" s="70">
        <f t="shared" si="43"/>
        <v>2053.4499052017281</v>
      </c>
      <c r="S93" s="71">
        <f t="shared" si="44"/>
        <v>2333.3333333333335</v>
      </c>
      <c r="T93" s="72">
        <f t="shared" si="45"/>
        <v>11.666666666666668</v>
      </c>
      <c r="U93" s="73">
        <f t="shared" si="40"/>
        <v>1716.5941846346861</v>
      </c>
    </row>
    <row r="94" spans="8:21" ht="15.75">
      <c r="I94" s="70">
        <f t="shared" si="41"/>
        <v>1916.6666666666667</v>
      </c>
      <c r="J94" s="70">
        <f t="shared" si="39"/>
        <v>1932.4056993929671</v>
      </c>
      <c r="K94" s="70">
        <f>J94-(('Optimasi Stage'!$M$5-'Optimasi Stage'!$M$18)*'Optimasi Stage'!$C$25)</f>
        <v>919.65114754696697</v>
      </c>
      <c r="L94" s="70">
        <f>'Optimasi Stage'!$M$18-('Frekuensi dulu'!K94/'Optimasi Stage'!$C$25)</f>
        <v>1994.8199577670584</v>
      </c>
      <c r="M94" s="70">
        <f>2.083*(100/'Optimasi Stage'!$M$14)^1.85*(I94/34.3)^1.85/('Optimasi Stage'!$F$19^4.8655)</f>
        <v>12.269586364060054</v>
      </c>
      <c r="N94" s="70">
        <f>(M94/1000)*'Optimasi Stage'!$M$18</f>
        <v>50.268495333554043</v>
      </c>
      <c r="O94" s="70">
        <f>'Optimasi Stage'!$F$21/'Optimasi Stage'!$C$25</f>
        <v>548.60281692862213</v>
      </c>
      <c r="P94" s="70">
        <f t="shared" si="42"/>
        <v>2593.6912700292346</v>
      </c>
      <c r="Q94" s="70">
        <f>P94*'Optimasi Stage'!$C$25</f>
        <v>1134.6750063953955</v>
      </c>
      <c r="R94" s="70">
        <f t="shared" si="43"/>
        <v>2054.3261539423625</v>
      </c>
      <c r="S94" s="71">
        <f t="shared" si="44"/>
        <v>2250.0000000000005</v>
      </c>
      <c r="T94" s="72">
        <f t="shared" si="45"/>
        <v>11.250000000000002</v>
      </c>
      <c r="U94" s="73">
        <f t="shared" si="40"/>
        <v>1729.5009948241434</v>
      </c>
    </row>
    <row r="95" spans="8:21" ht="15.75">
      <c r="I95" s="70">
        <f t="shared" si="41"/>
        <v>1958.3333333333335</v>
      </c>
      <c r="J95" s="70">
        <f t="shared" si="39"/>
        <v>1925.6271285146543</v>
      </c>
      <c r="K95" s="70">
        <f>J95-(('Optimasi Stage'!$M$5-'Optimasi Stage'!$M$18)*'Optimasi Stage'!$C$25)</f>
        <v>912.87257666865412</v>
      </c>
      <c r="L95" s="70">
        <f>'Optimasi Stage'!$M$18-('Frekuensi dulu'!K95/'Optimasi Stage'!$C$25)</f>
        <v>2010.3147205945279</v>
      </c>
      <c r="M95" s="70">
        <f>2.083*(100/'Optimasi Stage'!$M$14)^1.85*(I95/34.3)^1.85/('Optimasi Stage'!$F$19^4.8655)</f>
        <v>12.76759125109333</v>
      </c>
      <c r="N95" s="70">
        <f>(M95/1000)*'Optimasi Stage'!$M$18</f>
        <v>52.308821355729371</v>
      </c>
      <c r="O95" s="70">
        <f>'Optimasi Stage'!$F$21/'Optimasi Stage'!$C$25</f>
        <v>548.60281692862213</v>
      </c>
      <c r="P95" s="70">
        <f t="shared" si="42"/>
        <v>2611.2263588788792</v>
      </c>
      <c r="Q95" s="70">
        <f>P95*'Optimasi Stage'!$C$25</f>
        <v>1142.346168835785</v>
      </c>
      <c r="R95" s="70">
        <f t="shared" si="43"/>
        <v>2055.2187455044391</v>
      </c>
      <c r="S95" s="71">
        <f t="shared" si="44"/>
        <v>2152.7777777777778</v>
      </c>
      <c r="T95" s="72">
        <f t="shared" si="45"/>
        <v>10.763888888888889</v>
      </c>
      <c r="U95" s="73">
        <f t="shared" si="40"/>
        <v>1744.4292414098468</v>
      </c>
    </row>
    <row r="96" spans="8:21" ht="15.75">
      <c r="I96" s="78">
        <f t="shared" si="41"/>
        <v>2000</v>
      </c>
      <c r="J96" s="77">
        <f t="shared" si="39"/>
        <v>1918.8276421907619</v>
      </c>
      <c r="K96" s="77">
        <f>J96-(('Optimasi Stage'!$M$5-'Optimasi Stage'!$M$18)*'Optimasi Stage'!$C$25)</f>
        <v>906.07309034476179</v>
      </c>
      <c r="L96" s="77">
        <f>'Optimasi Stage'!$M$18-('Frekuensi dulu'!K96/'Optimasi Stage'!$C$25)</f>
        <v>2025.857292890174</v>
      </c>
      <c r="M96" s="77">
        <f>2.083*(100/'Optimasi Stage'!$M$14)^1.85*(I96/34.3)^1.85/('Optimasi Stage'!$F$19^4.8655)</f>
        <v>13.274684942067941</v>
      </c>
      <c r="N96" s="77">
        <f>(M96/1000)*'Optimasi Stage'!$M$18</f>
        <v>54.386384207652355</v>
      </c>
      <c r="O96" s="77">
        <f>'Optimasi Stage'!$F$21/'Optimasi Stage'!$C$25</f>
        <v>548.60281692862213</v>
      </c>
      <c r="P96" s="77">
        <f t="shared" si="42"/>
        <v>2628.8464940264485</v>
      </c>
      <c r="Q96" s="77">
        <f>P96*'Optimasi Stage'!$C$25</f>
        <v>1150.0545369026715</v>
      </c>
      <c r="R96" s="77">
        <f t="shared" si="43"/>
        <v>2056.1276272474333</v>
      </c>
      <c r="S96" s="78">
        <f t="shared" si="44"/>
        <v>2083.3333333333335</v>
      </c>
      <c r="T96" s="79">
        <f t="shared" si="45"/>
        <v>10.416666666666668</v>
      </c>
      <c r="U96" s="80">
        <f t="shared" si="40"/>
        <v>1755.3635910268601</v>
      </c>
    </row>
    <row r="97" spans="8:21" ht="15.75">
      <c r="I97" s="70">
        <f t="shared" si="41"/>
        <v>2041.6666666666667</v>
      </c>
      <c r="J97" s="70">
        <f t="shared" si="39"/>
        <v>1912.0070456128337</v>
      </c>
      <c r="K97" s="70">
        <f>J97-(('Optimasi Stage'!$M$5-'Optimasi Stage'!$M$18)*'Optimasi Stage'!$C$25)</f>
        <v>899.2524937668336</v>
      </c>
      <c r="L97" s="70">
        <f>'Optimasi Stage'!$M$18-('Frekuensi dulu'!K97/'Optimasi Stage'!$C$25)</f>
        <v>2041.448119955945</v>
      </c>
      <c r="M97" s="70">
        <f>2.083*(100/'Optimasi Stage'!$M$14)^1.85*(I97/34.3)^1.85/('Optimasi Stage'!$F$19^4.8655)</f>
        <v>13.790838777279903</v>
      </c>
      <c r="N97" s="70">
        <f>(M97/1000)*'Optimasi Stage'!$M$18</f>
        <v>56.501066470515767</v>
      </c>
      <c r="O97" s="70">
        <f>'Optimasi Stage'!$F$21/'Optimasi Stage'!$C$25</f>
        <v>548.60281692862213</v>
      </c>
      <c r="P97" s="70">
        <f t="shared" si="42"/>
        <v>2646.5520033550829</v>
      </c>
      <c r="Q97" s="70">
        <f>P97*'Optimasi Stage'!$C$25</f>
        <v>1157.8002540367218</v>
      </c>
      <c r="R97" s="70">
        <f t="shared" si="43"/>
        <v>2057.0527478035556</v>
      </c>
      <c r="S97" s="71">
        <f t="shared" si="44"/>
        <v>2013.8888888888891</v>
      </c>
      <c r="T97" s="72">
        <f t="shared" si="45"/>
        <v>10.069444444444446</v>
      </c>
      <c r="U97" s="73">
        <f t="shared" si="40"/>
        <v>1766.3141794570015</v>
      </c>
    </row>
    <row r="98" spans="8:21" ht="15.75">
      <c r="I98" s="70">
        <f t="shared" si="41"/>
        <v>2083.3333333333335</v>
      </c>
      <c r="J98" s="70">
        <f t="shared" si="39"/>
        <v>1905.1651409293966</v>
      </c>
      <c r="K98" s="70">
        <f>J98-(('Optimasi Stage'!$M$5-'Optimasi Stage'!$M$18)*'Optimasi Stage'!$C$25)</f>
        <v>892.41058908339642</v>
      </c>
      <c r="L98" s="70">
        <f>'Optimasi Stage'!$M$18-('Frekuensi dulu'!K98/'Optimasi Stage'!$C$25)</f>
        <v>2057.0876540496565</v>
      </c>
      <c r="M98" s="70">
        <f>2.083*(100/'Optimasi Stage'!$M$14)^1.85*(I98/34.3)^1.85/('Optimasi Stage'!$F$19^4.8655)</f>
        <v>14.316024775684756</v>
      </c>
      <c r="N98" s="70">
        <f>(M98/1000)*'Optimasi Stage'!$M$18</f>
        <v>58.652753505980449</v>
      </c>
      <c r="O98" s="70">
        <f>'Optimasi Stage'!$F$21/'Optimasi Stage'!$C$25</f>
        <v>548.60281692862213</v>
      </c>
      <c r="P98" s="70">
        <f t="shared" si="42"/>
        <v>2664.3432244842588</v>
      </c>
      <c r="Q98" s="70">
        <f>P98*'Optimasi Stage'!$C$25</f>
        <v>1165.5834679380055</v>
      </c>
      <c r="R98" s="70">
        <f t="shared" si="43"/>
        <v>2057.9940570214021</v>
      </c>
      <c r="S98" s="71">
        <f t="shared" si="44"/>
        <v>1944.4444444444448</v>
      </c>
      <c r="T98" s="72">
        <f t="shared" si="45"/>
        <v>9.7222222222222232</v>
      </c>
      <c r="U98" s="73">
        <f t="shared" si="40"/>
        <v>1777.2809565488672</v>
      </c>
    </row>
    <row r="99" spans="8:21" ht="15.75">
      <c r="I99" s="61">
        <f t="shared" si="41"/>
        <v>2125</v>
      </c>
      <c r="J99" s="63">
        <f t="shared" si="39"/>
        <v>1898.3017271789922</v>
      </c>
      <c r="K99" s="63">
        <f>J99-(('Optimasi Stage'!$M$5-'Optimasi Stage'!$M$18)*'Optimasi Stage'!$C$25)</f>
        <v>885.54717533299208</v>
      </c>
      <c r="L99" s="63">
        <f>'Optimasi Stage'!$M$18-('Frekuensi dulu'!K99/'Optimasi Stage'!$C$25)</f>
        <v>2072.7763545380667</v>
      </c>
      <c r="M99" s="63">
        <f>2.083*(100/'Optimasi Stage'!$M$14)^1.85*(I99/34.3)^1.85/('Optimasi Stage'!$F$19^4.8655)</f>
        <v>14.850215605455663</v>
      </c>
      <c r="N99" s="63">
        <f>(M99/1000)*'Optimasi Stage'!$M$18</f>
        <v>60.841333335551852</v>
      </c>
      <c r="O99" s="63">
        <f>'Optimasi Stage'!$F$21/'Optimasi Stage'!$C$25</f>
        <v>548.60281692862213</v>
      </c>
      <c r="P99" s="82">
        <f t="shared" si="42"/>
        <v>2682.2205048022406</v>
      </c>
      <c r="Q99" s="63">
        <f>P99*'Optimasi Stage'!$C$25</f>
        <v>1173.4043305801924</v>
      </c>
      <c r="R99" s="82">
        <f t="shared" si="43"/>
        <v>2058.9515059131845</v>
      </c>
      <c r="S99" s="60">
        <f t="shared" si="44"/>
        <v>1805.5555555555559</v>
      </c>
      <c r="T99" s="62">
        <f t="shared" si="45"/>
        <v>9.0277777777777786</v>
      </c>
      <c r="U99" s="85">
        <f t="shared" si="40"/>
        <v>1798.2893411886878</v>
      </c>
    </row>
    <row r="100" spans="8:21" ht="15.75">
      <c r="I100" s="181">
        <f t="shared" si="41"/>
        <v>2166.666666666667</v>
      </c>
      <c r="J100" s="182">
        <f t="shared" si="39"/>
        <v>1891.416600221308</v>
      </c>
      <c r="K100" s="182">
        <f>J100-(('Optimasi Stage'!$M$5-'Optimasi Stage'!$M$18)*'Optimasi Stage'!$C$25)</f>
        <v>878.6620483753079</v>
      </c>
      <c r="L100" s="182">
        <f>'Optimasi Stage'!$M$18-('Frekuensi dulu'!K100/'Optimasi Stage'!$C$25)</f>
        <v>2088.5146880543034</v>
      </c>
      <c r="M100" s="182">
        <f>2.083*(100/'Optimasi Stage'!$M$14)^1.85*(I100/34.3)^1.85/('Optimasi Stage'!$F$19^4.8655)</f>
        <v>15.393384556376349</v>
      </c>
      <c r="N100" s="182">
        <f>(M100/1000)*'Optimasi Stage'!$M$18</f>
        <v>63.066696527473901</v>
      </c>
      <c r="O100" s="182">
        <f>'Optimasi Stage'!$F$21/'Optimasi Stage'!$C$25</f>
        <v>548.60281692862213</v>
      </c>
      <c r="P100" s="183">
        <f t="shared" si="42"/>
        <v>2700.1842015103994</v>
      </c>
      <c r="Q100" s="182">
        <f>P100*'Optimasi Stage'!$C$25</f>
        <v>1181.2629982299413</v>
      </c>
      <c r="R100" s="183">
        <f t="shared" si="43"/>
        <v>2059.925046605249</v>
      </c>
      <c r="S100" s="187">
        <f t="shared" si="44"/>
        <v>1736.1111111111113</v>
      </c>
      <c r="T100" s="188">
        <f t="shared" si="45"/>
        <v>8.6805555555555571</v>
      </c>
      <c r="U100" s="189">
        <f t="shared" si="40"/>
        <v>1809.2883497547714</v>
      </c>
    </row>
    <row r="101" spans="8:21" ht="15.75">
      <c r="I101" s="190"/>
      <c r="J101" s="191"/>
      <c r="K101" s="191"/>
      <c r="L101" s="191"/>
      <c r="M101" s="191"/>
      <c r="N101" s="191"/>
      <c r="O101" s="191"/>
      <c r="P101" s="192"/>
      <c r="Q101" s="191"/>
      <c r="R101" s="192"/>
      <c r="S101" s="193"/>
      <c r="T101" s="194"/>
      <c r="U101" s="195"/>
    </row>
    <row r="102" spans="8:21" ht="15.75">
      <c r="J102" s="86"/>
      <c r="K102" s="87"/>
      <c r="L102" s="67"/>
      <c r="M102" s="86"/>
      <c r="N102" s="86"/>
    </row>
    <row r="103" spans="8:21">
      <c r="H103" s="66" t="s">
        <v>153</v>
      </c>
      <c r="I103" s="1149" t="s">
        <v>122</v>
      </c>
      <c r="J103" s="1149" t="s">
        <v>44</v>
      </c>
      <c r="K103" s="1147" t="s">
        <v>96</v>
      </c>
      <c r="L103" s="1147" t="s">
        <v>97</v>
      </c>
      <c r="M103" s="1147" t="s">
        <v>123</v>
      </c>
      <c r="N103" s="1147" t="s">
        <v>99</v>
      </c>
      <c r="O103" s="1147" t="s">
        <v>100</v>
      </c>
      <c r="P103" s="1147" t="s">
        <v>101</v>
      </c>
      <c r="Q103" s="1147" t="s">
        <v>124</v>
      </c>
      <c r="R103" s="1147" t="s">
        <v>125</v>
      </c>
      <c r="S103" s="1145" t="s">
        <v>126</v>
      </c>
      <c r="T103" s="1147" t="s">
        <v>127</v>
      </c>
      <c r="U103" s="111" t="s">
        <v>128</v>
      </c>
    </row>
    <row r="104" spans="8:21">
      <c r="H104" s="66" t="s">
        <v>146</v>
      </c>
      <c r="I104" s="1150"/>
      <c r="J104" s="1150"/>
      <c r="K104" s="1148"/>
      <c r="L104" s="1148"/>
      <c r="M104" s="1148"/>
      <c r="N104" s="1148"/>
      <c r="O104" s="1148"/>
      <c r="P104" s="1148"/>
      <c r="Q104" s="1148"/>
      <c r="R104" s="1148"/>
      <c r="S104" s="1146"/>
      <c r="T104" s="1148"/>
      <c r="U104" s="111">
        <v>200</v>
      </c>
    </row>
    <row r="105" spans="8:21" ht="15" customHeight="1">
      <c r="I105" s="61">
        <f>(45/60)*I3</f>
        <v>1500</v>
      </c>
      <c r="J105" s="63">
        <f t="shared" ref="J105:J117" si="46">((-0.2+(SQRT(0.04-3.2*((I105/E$5)-1))))/1.6)*$E$4</f>
        <v>1999.0818659966776</v>
      </c>
      <c r="K105" s="63">
        <f>J105-(('Optimasi Stage'!$M$5-'Optimasi Stage'!$M$18)*'Optimasi Stage'!$C$25)</f>
        <v>986.32731415067747</v>
      </c>
      <c r="L105" s="63">
        <f>'Optimasi Stage'!$M$18-('Frekuensi dulu'!K105/'Optimasi Stage'!$C$25)</f>
        <v>1842.4085710137347</v>
      </c>
      <c r="M105" s="63">
        <f>2.083*(100/'Optimasi Stage'!$M$14)^1.85*(I105/34.3)^1.85/('Optimasi Stage'!$F$19^4.8655)</f>
        <v>7.7962823605453462</v>
      </c>
      <c r="N105" s="63">
        <f>(M105/1000)*'Optimasi Stage'!$M$18</f>
        <v>31.941368831154282</v>
      </c>
      <c r="O105" s="63">
        <f>'Optimasi Stage'!$F$21/'Optimasi Stage'!$C$25</f>
        <v>548.60281692862213</v>
      </c>
      <c r="P105" s="63">
        <f>L105+N105+O105</f>
        <v>2422.9527567735113</v>
      </c>
      <c r="Q105" s="63">
        <f>P105*'Optimasi Stage'!$C$25</f>
        <v>1059.9811807041849</v>
      </c>
      <c r="R105" s="63">
        <f>K105+Q105</f>
        <v>2046.3084948548624</v>
      </c>
      <c r="S105" s="60">
        <f>((45/60)^2)*S3</f>
        <v>2182.4999999999995</v>
      </c>
      <c r="T105" s="62">
        <f>S105/$U$19</f>
        <v>10.912499999999998</v>
      </c>
      <c r="U105" s="68">
        <f t="shared" ref="U105:U117" si="47">R105-((E$2*T105/808.3141)*U$2)</f>
        <v>1731.22809051019</v>
      </c>
    </row>
    <row r="106" spans="8:21" ht="15" customHeight="1">
      <c r="I106" s="61">
        <f t="shared" ref="I106:I117" si="48">(45/60)*I4</f>
        <v>1537.5</v>
      </c>
      <c r="J106" s="63">
        <f t="shared" si="46"/>
        <v>1993.161168493463</v>
      </c>
      <c r="K106" s="63">
        <f>J106-(('Optimasi Stage'!$M$5-'Optimasi Stage'!$M$18)*'Optimasi Stage'!$C$25)</f>
        <v>980.4066166474629</v>
      </c>
      <c r="L106" s="63">
        <f>'Optimasi Stage'!$M$18-('Frekuensi dulu'!K106/'Optimasi Stage'!$C$25)</f>
        <v>1855.9423682155921</v>
      </c>
      <c r="M106" s="63">
        <f>2.083*(100/'Optimasi Stage'!$M$14)^1.85*(I106/34.3)^1.85/('Optimasi Stage'!$F$19^4.8655)</f>
        <v>8.1606868067271332</v>
      </c>
      <c r="N106" s="63">
        <f>(M106/1000)*'Optimasi Stage'!$M$18</f>
        <v>33.434333847161064</v>
      </c>
      <c r="O106" s="63">
        <f>'Optimasi Stage'!$F$21/'Optimasi Stage'!$C$25</f>
        <v>548.60281692862213</v>
      </c>
      <c r="P106" s="63">
        <f t="shared" ref="P106:P117" si="49">L106+N106+O106</f>
        <v>2437.9795189913752</v>
      </c>
      <c r="Q106" s="63">
        <f>P106*'Optimasi Stage'!$C$25</f>
        <v>1066.5550130305992</v>
      </c>
      <c r="R106" s="63">
        <f t="shared" ref="R106:R117" si="50">K106+Q106</f>
        <v>2046.9616296780621</v>
      </c>
      <c r="S106" s="60">
        <f t="shared" ref="S106:S117" si="51">((45/60)^2)*S4</f>
        <v>2115</v>
      </c>
      <c r="T106" s="62">
        <f t="shared" ref="T106:T117" si="52">S106/$U$19</f>
        <v>10.574999999999999</v>
      </c>
      <c r="U106" s="68">
        <f t="shared" si="47"/>
        <v>1741.6259801069361</v>
      </c>
    </row>
    <row r="107" spans="8:21" ht="15.75">
      <c r="I107" s="61">
        <f t="shared" si="48"/>
        <v>1575</v>
      </c>
      <c r="J107" s="63">
        <f t="shared" si="46"/>
        <v>1987.2249962936571</v>
      </c>
      <c r="K107" s="63">
        <f>J107-(('Optimasi Stage'!$M$5-'Optimasi Stage'!$M$18)*'Optimasi Stage'!$C$25)</f>
        <v>974.47044444765697</v>
      </c>
      <c r="L107" s="63">
        <f>'Optimasi Stage'!$M$18-('Frekuensi dulu'!K107/'Optimasi Stage'!$C$25)</f>
        <v>1869.5115381763708</v>
      </c>
      <c r="M107" s="63">
        <f>2.083*(100/'Optimasi Stage'!$M$14)^1.85*(I107/34.3)^1.85/('Optimasi Stage'!$F$19^4.8655)</f>
        <v>8.5327252741798567</v>
      </c>
      <c r="N107" s="63">
        <f>(M107/1000)*'Optimasi Stage'!$M$18</f>
        <v>34.958575448314875</v>
      </c>
      <c r="O107" s="63">
        <f>'Optimasi Stage'!$F$21/'Optimasi Stage'!$C$25</f>
        <v>548.60281692862213</v>
      </c>
      <c r="P107" s="63">
        <f t="shared" si="49"/>
        <v>2453.0729305533077</v>
      </c>
      <c r="Q107" s="63">
        <f>P107*'Optimasi Stage'!$C$25</f>
        <v>1073.1580027767038</v>
      </c>
      <c r="R107" s="63">
        <f t="shared" si="50"/>
        <v>2047.6284472243608</v>
      </c>
      <c r="S107" s="60">
        <f t="shared" si="51"/>
        <v>2058.75</v>
      </c>
      <c r="T107" s="62">
        <f t="shared" si="52"/>
        <v>10.293749999999999</v>
      </c>
      <c r="U107" s="68">
        <f t="shared" si="47"/>
        <v>1750.4134266311903</v>
      </c>
    </row>
    <row r="108" spans="8:21" ht="15.75">
      <c r="I108" s="61">
        <f t="shared" si="48"/>
        <v>1612.5</v>
      </c>
      <c r="J108" s="63">
        <f t="shared" si="46"/>
        <v>1981.2732274224024</v>
      </c>
      <c r="K108" s="63">
        <f>J108-(('Optimasi Stage'!$M$5-'Optimasi Stage'!$M$18)*'Optimasi Stage'!$C$25)</f>
        <v>968.5186755764023</v>
      </c>
      <c r="L108" s="63">
        <f>'Optimasi Stage'!$M$18-('Frekuensi dulu'!K108/'Optimasi Stage'!$C$25)</f>
        <v>1883.1163597116974</v>
      </c>
      <c r="M108" s="63">
        <f>2.083*(100/'Optimasi Stage'!$M$14)^1.85*(I108/34.3)^1.85/('Optimasi Stage'!$F$19^4.8655)</f>
        <v>8.9123702154703466</v>
      </c>
      <c r="N108" s="63">
        <f>(M108/1000)*'Optimasi Stage'!$M$18</f>
        <v>36.513980772782006</v>
      </c>
      <c r="O108" s="63">
        <f>'Optimasi Stage'!$F$21/'Optimasi Stage'!$C$25</f>
        <v>548.60281692862213</v>
      </c>
      <c r="P108" s="116">
        <f t="shared" si="49"/>
        <v>2468.2331574131013</v>
      </c>
      <c r="Q108" s="63">
        <f>P108*'Optimasi Stage'!$C$25</f>
        <v>1079.7902225431287</v>
      </c>
      <c r="R108" s="116">
        <f t="shared" si="50"/>
        <v>2048.308898119531</v>
      </c>
      <c r="S108" s="60">
        <f t="shared" si="51"/>
        <v>2013.7499999999998</v>
      </c>
      <c r="T108" s="62">
        <f t="shared" si="52"/>
        <v>10.06875</v>
      </c>
      <c r="U108" s="119">
        <f t="shared" si="47"/>
        <v>1757.590380708725</v>
      </c>
    </row>
    <row r="109" spans="8:21" ht="15.75">
      <c r="I109" s="61">
        <f t="shared" si="48"/>
        <v>1650</v>
      </c>
      <c r="J109" s="70">
        <f t="shared" si="46"/>
        <v>1975.3057382939858</v>
      </c>
      <c r="K109" s="63">
        <f>J109-(('Optimasi Stage'!$M$5-'Optimasi Stage'!$M$18)*'Optimasi Stage'!$C$25)</f>
        <v>962.55118644798563</v>
      </c>
      <c r="L109" s="63">
        <f>'Optimasi Stage'!$M$18-('Frekuensi dulu'!K109/'Optimasi Stage'!$C$25)</f>
        <v>1896.7571153193653</v>
      </c>
      <c r="M109" s="63">
        <f>2.083*(100/'Optimasi Stage'!$M$14)^1.85*(I109/34.3)^1.85/('Optimasi Stage'!$F$19^4.8655)</f>
        <v>9.2995948274661036</v>
      </c>
      <c r="N109" s="63">
        <f>(M109/1000)*'Optimasi Stage'!$M$18</f>
        <v>38.100440008128629</v>
      </c>
      <c r="O109" s="63">
        <f>'Optimasi Stage'!$F$21/'Optimasi Stage'!$C$25</f>
        <v>548.60281692862213</v>
      </c>
      <c r="P109" s="70">
        <f t="shared" si="49"/>
        <v>2483.460372256116</v>
      </c>
      <c r="Q109" s="63">
        <f>P109*'Optimasi Stage'!$C$25</f>
        <v>1086.4517478753967</v>
      </c>
      <c r="R109" s="70">
        <f t="shared" si="50"/>
        <v>2049.0029343233823</v>
      </c>
      <c r="S109" s="60">
        <f t="shared" si="51"/>
        <v>1946.25</v>
      </c>
      <c r="T109" s="62">
        <f t="shared" si="52"/>
        <v>9.7312499999999993</v>
      </c>
      <c r="U109" s="73">
        <f t="shared" si="47"/>
        <v>1768.0291716861229</v>
      </c>
    </row>
    <row r="110" spans="8:21" ht="15.75">
      <c r="I110" s="61">
        <f t="shared" si="48"/>
        <v>1687.5</v>
      </c>
      <c r="J110" s="70">
        <f t="shared" si="46"/>
        <v>1969.3224036818949</v>
      </c>
      <c r="K110" s="63">
        <f>J110-(('Optimasi Stage'!$M$5-'Optimasi Stage'!$M$18)*'Optimasi Stage'!$C$25)</f>
        <v>956.56785183589477</v>
      </c>
      <c r="L110" s="63">
        <f>'Optimasi Stage'!$M$18-('Frekuensi dulu'!K110/'Optimasi Stage'!$C$25)</f>
        <v>1910.4340912477801</v>
      </c>
      <c r="M110" s="63">
        <f>2.083*(100/'Optimasi Stage'!$M$14)^1.85*(I110/34.3)^1.85/('Optimasi Stage'!$F$19^4.8655)</f>
        <v>9.6943730145965219</v>
      </c>
      <c r="N110" s="63">
        <f>(M110/1000)*'Optimasi Stage'!$M$18</f>
        <v>39.717846240801947</v>
      </c>
      <c r="O110" s="63">
        <f>'Optimasi Stage'!$F$21/'Optimasi Stage'!$C$25</f>
        <v>548.60281692862213</v>
      </c>
      <c r="P110" s="70">
        <f t="shared" si="49"/>
        <v>2498.7547544172039</v>
      </c>
      <c r="Q110" s="63">
        <f>P110*'Optimasi Stage'!$C$25</f>
        <v>1093.1426572280161</v>
      </c>
      <c r="R110" s="70">
        <f t="shared" si="50"/>
        <v>2049.7105090639106</v>
      </c>
      <c r="S110" s="60">
        <f t="shared" si="51"/>
        <v>1890</v>
      </c>
      <c r="T110" s="62">
        <f t="shared" si="52"/>
        <v>9.4499999999999993</v>
      </c>
      <c r="U110" s="73">
        <f t="shared" si="47"/>
        <v>1776.8573754046067</v>
      </c>
    </row>
    <row r="111" spans="8:21" ht="15.75">
      <c r="I111" s="61">
        <f t="shared" si="48"/>
        <v>1725</v>
      </c>
      <c r="J111" s="70">
        <f t="shared" si="46"/>
        <v>1963.3230966881586</v>
      </c>
      <c r="K111" s="63">
        <f>J111-(('Optimasi Stage'!$M$5-'Optimasi Stage'!$M$18)*'Optimasi Stage'!$C$25)</f>
        <v>950.56854484215842</v>
      </c>
      <c r="L111" s="63">
        <f>'Optimasi Stage'!$M$18-('Frekuensi dulu'!K111/'Optimasi Stage'!$C$25)</f>
        <v>1924.1475775660442</v>
      </c>
      <c r="M111" s="63">
        <f>2.083*(100/'Optimasi Stage'!$M$14)^1.85*(I111/34.3)^1.85/('Optimasi Stage'!$F$19^4.8655)</f>
        <v>10.096679354711595</v>
      </c>
      <c r="N111" s="63">
        <f>(M111/1000)*'Optimasi Stage'!$M$18</f>
        <v>41.366095316253407</v>
      </c>
      <c r="O111" s="63">
        <f>'Optimasi Stage'!$F$21/'Optimasi Stage'!$C$25</f>
        <v>548.60281692862213</v>
      </c>
      <c r="P111" s="70">
        <f t="shared" si="49"/>
        <v>2514.11648981092</v>
      </c>
      <c r="Q111" s="63">
        <f>P111*'Optimasi Stage'!$C$25</f>
        <v>1099.8630319339513</v>
      </c>
      <c r="R111" s="70">
        <f t="shared" si="50"/>
        <v>2050.43157677611</v>
      </c>
      <c r="S111" s="60">
        <f t="shared" si="51"/>
        <v>1822.5</v>
      </c>
      <c r="T111" s="62">
        <f t="shared" si="52"/>
        <v>9.1125000000000007</v>
      </c>
      <c r="U111" s="73">
        <f t="shared" si="47"/>
        <v>1787.3231978903525</v>
      </c>
    </row>
    <row r="112" spans="8:21" ht="15.75">
      <c r="I112" s="61">
        <f t="shared" si="48"/>
        <v>1762.5</v>
      </c>
      <c r="J112" s="70">
        <f t="shared" si="46"/>
        <v>1957.307688711946</v>
      </c>
      <c r="K112" s="63">
        <f>J112-(('Optimasi Stage'!$M$5-'Optimasi Stage'!$M$18)*'Optimasi Stage'!$C$25)</f>
        <v>944.55313686594582</v>
      </c>
      <c r="L112" s="63">
        <f>'Optimasi Stage'!$M$18-('Frekuensi dulu'!K112/'Optimasi Stage'!$C$25)</f>
        <v>1937.8978682357319</v>
      </c>
      <c r="M112" s="63">
        <f>2.083*(100/'Optimasi Stage'!$M$14)^1.85*(I112/34.3)^1.85/('Optimasi Stage'!$F$19^4.8655)</f>
        <v>10.506489067301656</v>
      </c>
      <c r="N112" s="63">
        <f>(M112/1000)*'Optimasi Stage'!$M$18</f>
        <v>43.045085708734888</v>
      </c>
      <c r="O112" s="63">
        <f>'Optimasi Stage'!$F$21/'Optimasi Stage'!$C$25</f>
        <v>548.60281692862213</v>
      </c>
      <c r="P112" s="70">
        <f t="shared" si="49"/>
        <v>2529.5457708730892</v>
      </c>
      <c r="Q112" s="63">
        <f>P112*'Optimasi Stage'!$C$25</f>
        <v>1106.6129561790585</v>
      </c>
      <c r="R112" s="70">
        <f t="shared" si="50"/>
        <v>2051.1660930450043</v>
      </c>
      <c r="S112" s="60">
        <f t="shared" si="51"/>
        <v>1743.75</v>
      </c>
      <c r="T112" s="62">
        <f t="shared" si="52"/>
        <v>8.71875</v>
      </c>
      <c r="U112" s="73">
        <f t="shared" si="47"/>
        <v>1799.4265947283845</v>
      </c>
    </row>
    <row r="113" spans="9:21" ht="15.75">
      <c r="I113" s="61">
        <f t="shared" si="48"/>
        <v>1800</v>
      </c>
      <c r="J113" s="70">
        <f t="shared" si="46"/>
        <v>1951.2760494174013</v>
      </c>
      <c r="K113" s="63">
        <f>J113-(('Optimasi Stage'!$M$5-'Optimasi Stage'!$M$18)*'Optimasi Stage'!$C$25)</f>
        <v>938.52149757140114</v>
      </c>
      <c r="L113" s="63">
        <f>'Optimasi Stage'!$M$18-('Frekuensi dulu'!K113/'Optimasi Stage'!$C$25)</f>
        <v>1951.6852611844179</v>
      </c>
      <c r="M113" s="63">
        <f>2.083*(100/'Optimasi Stage'!$M$14)^1.85*(I113/34.3)^1.85/('Optimasi Stage'!$F$19^4.8655)</f>
        <v>10.923777983867341</v>
      </c>
      <c r="N113" s="63">
        <f>(M113/1000)*'Optimasi Stage'!$M$18</f>
        <v>44.754718399904498</v>
      </c>
      <c r="O113" s="63">
        <f>'Optimasi Stage'!$F$21/'Optimasi Stage'!$C$25</f>
        <v>548.60281692862213</v>
      </c>
      <c r="P113" s="77">
        <f t="shared" si="49"/>
        <v>2545.0427965129447</v>
      </c>
      <c r="Q113" s="63">
        <f>P113*'Optimasi Stage'!$C$25</f>
        <v>1113.3925169811482</v>
      </c>
      <c r="R113" s="77">
        <f t="shared" si="50"/>
        <v>2051.9140145525494</v>
      </c>
      <c r="S113" s="60">
        <f t="shared" si="51"/>
        <v>1687.5</v>
      </c>
      <c r="T113" s="62">
        <f t="shared" si="52"/>
        <v>8.4375</v>
      </c>
      <c r="U113" s="80">
        <f t="shared" si="47"/>
        <v>1808.295145213885</v>
      </c>
    </row>
    <row r="114" spans="9:21" ht="15.75">
      <c r="I114" s="61">
        <f t="shared" si="48"/>
        <v>1837.5</v>
      </c>
      <c r="J114" s="70">
        <f t="shared" si="46"/>
        <v>1945.228046700694</v>
      </c>
      <c r="K114" s="63">
        <f>J114-(('Optimasi Stage'!$M$5-'Optimasi Stage'!$M$18)*'Optimasi Stage'!$C$25)</f>
        <v>932.47349485469385</v>
      </c>
      <c r="L114" s="63">
        <f>'Optimasi Stage'!$M$18-('Frekuensi dulu'!K114/'Optimasi Stage'!$C$25)</f>
        <v>1965.5100583809913</v>
      </c>
      <c r="M114" s="63">
        <f>2.083*(100/'Optimasi Stage'!$M$14)^1.85*(I114/34.3)^1.85/('Optimasi Stage'!$F$19^4.8655)</f>
        <v>11.348522520252478</v>
      </c>
      <c r="N114" s="63">
        <f>(M114/1000)*'Optimasi Stage'!$M$18</f>
        <v>46.494896765474401</v>
      </c>
      <c r="O114" s="63">
        <f>'Optimasi Stage'!$F$21/'Optimasi Stage'!$C$25</f>
        <v>548.60281692862213</v>
      </c>
      <c r="P114" s="70">
        <f t="shared" si="49"/>
        <v>2560.6077720750877</v>
      </c>
      <c r="Q114" s="63">
        <f>P114*'Optimasi Stage'!$C$25</f>
        <v>1120.2018041733436</v>
      </c>
      <c r="R114" s="70">
        <f t="shared" si="50"/>
        <v>2052.6752990280374</v>
      </c>
      <c r="S114" s="60">
        <f t="shared" si="51"/>
        <v>1631.25</v>
      </c>
      <c r="T114" s="62">
        <f t="shared" si="52"/>
        <v>8.15625</v>
      </c>
      <c r="U114" s="73">
        <f t="shared" si="47"/>
        <v>1817.1770586673285</v>
      </c>
    </row>
    <row r="115" spans="9:21" ht="15.75">
      <c r="I115" s="61">
        <f t="shared" si="48"/>
        <v>1875</v>
      </c>
      <c r="J115" s="70">
        <f t="shared" si="46"/>
        <v>1939.1635466562627</v>
      </c>
      <c r="K115" s="63">
        <f>J115-(('Optimasi Stage'!$M$5-'Optimasi Stage'!$M$18)*'Optimasi Stage'!$C$25)</f>
        <v>926.40899481026258</v>
      </c>
      <c r="L115" s="63">
        <f>'Optimasi Stage'!$M$18-('Frekuensi dulu'!K115/'Optimasi Stage'!$C$25)</f>
        <v>1979.3725659128195</v>
      </c>
      <c r="M115" s="63">
        <f>2.083*(100/'Optimasi Stage'!$M$14)^1.85*(I115/34.3)^1.85/('Optimasi Stage'!$F$19^4.8655)</f>
        <v>11.780699650771737</v>
      </c>
      <c r="N115" s="63">
        <f>(M115/1000)*'Optimasi Stage'!$M$18</f>
        <v>48.265526469211807</v>
      </c>
      <c r="O115" s="63">
        <f>'Optimasi Stage'!$F$21/'Optimasi Stage'!$C$25</f>
        <v>548.60281692862213</v>
      </c>
      <c r="P115" s="70">
        <f t="shared" si="49"/>
        <v>2576.2409093106535</v>
      </c>
      <c r="Q115" s="63">
        <f>P115*'Optimasi Stage'!$C$25</f>
        <v>1127.0409103914656</v>
      </c>
      <c r="R115" s="70">
        <f t="shared" si="50"/>
        <v>2053.4499052017281</v>
      </c>
      <c r="S115" s="60">
        <f t="shared" si="51"/>
        <v>1575</v>
      </c>
      <c r="T115" s="62">
        <f t="shared" si="52"/>
        <v>7.875</v>
      </c>
      <c r="U115" s="73">
        <f t="shared" si="47"/>
        <v>1826.0722938189747</v>
      </c>
    </row>
    <row r="116" spans="9:21" ht="15.75">
      <c r="I116" s="61">
        <f t="shared" si="48"/>
        <v>1912.5</v>
      </c>
      <c r="J116" s="63">
        <f t="shared" si="46"/>
        <v>1933.0824135422213</v>
      </c>
      <c r="K116" s="63">
        <f>J116-(('Optimasi Stage'!$M$5-'Optimasi Stage'!$M$18)*'Optimasi Stage'!$C$25)</f>
        <v>920.32786169622113</v>
      </c>
      <c r="L116" s="63">
        <f>'Optimasi Stage'!$M$18-('Frekuensi dulu'!K116/'Optimasi Stage'!$C$25)</f>
        <v>1993.2730940648239</v>
      </c>
      <c r="M116" s="63">
        <f>2.083*(100/'Optimasi Stage'!$M$14)^1.85*(I116/34.3)^1.85/('Optimasi Stage'!$F$19^4.8655)</f>
        <v>12.220286883983022</v>
      </c>
      <c r="N116" s="63">
        <f>(M116/1000)*'Optimasi Stage'!$M$18</f>
        <v>50.066515363678434</v>
      </c>
      <c r="O116" s="63">
        <f>'Optimasi Stage'!$F$21/'Optimasi Stage'!$C$25</f>
        <v>548.60281692862213</v>
      </c>
      <c r="P116" s="82">
        <f t="shared" si="49"/>
        <v>2591.9424263571245</v>
      </c>
      <c r="Q116" s="63">
        <f>P116*'Optimasi Stage'!$C$25</f>
        <v>1133.9099310652025</v>
      </c>
      <c r="R116" s="82">
        <f t="shared" si="50"/>
        <v>2054.2377927614234</v>
      </c>
      <c r="S116" s="60">
        <f t="shared" si="51"/>
        <v>1462.5</v>
      </c>
      <c r="T116" s="62">
        <f t="shared" si="52"/>
        <v>7.3125</v>
      </c>
      <c r="U116" s="85">
        <f t="shared" si="47"/>
        <v>1843.1014393345811</v>
      </c>
    </row>
    <row r="117" spans="9:21" ht="15.75">
      <c r="I117" s="181">
        <f t="shared" si="48"/>
        <v>1950</v>
      </c>
      <c r="J117" s="182">
        <f t="shared" si="46"/>
        <v>1926.9845097449104</v>
      </c>
      <c r="K117" s="182">
        <f>J117-(('Optimasi Stage'!$M$5-'Optimasi Stage'!$M$18)*'Optimasi Stage'!$C$25)</f>
        <v>914.22995789891024</v>
      </c>
      <c r="L117" s="182">
        <f>'Optimasi Stage'!$M$18-('Frekuensi dulu'!K117/'Optimasi Stage'!$C$25)</f>
        <v>2007.2119574005092</v>
      </c>
      <c r="M117" s="182">
        <f>2.083*(100/'Optimasi Stage'!$M$14)^1.85*(I117/34.3)^1.85/('Optimasi Stage'!$F$19^4.8655)</f>
        <v>12.667262239969391</v>
      </c>
      <c r="N117" s="182">
        <f>(M117/1000)*'Optimasi Stage'!$M$18</f>
        <v>51.897773397154602</v>
      </c>
      <c r="O117" s="182">
        <f>'Optimasi Stage'!$F$21/'Optimasi Stage'!$C$25</f>
        <v>548.60281692862213</v>
      </c>
      <c r="P117" s="183">
        <f t="shared" si="49"/>
        <v>2607.7125477262862</v>
      </c>
      <c r="Q117" s="182">
        <f>P117*'Optimasi Stage'!$C$25</f>
        <v>1140.8089644128406</v>
      </c>
      <c r="R117" s="183">
        <f t="shared" si="50"/>
        <v>2055.0389223117509</v>
      </c>
      <c r="S117" s="187">
        <f t="shared" si="51"/>
        <v>1406.25</v>
      </c>
      <c r="T117" s="188">
        <f t="shared" si="52"/>
        <v>7.03125</v>
      </c>
      <c r="U117" s="189">
        <f t="shared" si="47"/>
        <v>1852.023197862864</v>
      </c>
    </row>
    <row r="118" spans="9:21" ht="15" customHeight="1">
      <c r="I118" s="190"/>
      <c r="J118" s="191"/>
      <c r="K118" s="191"/>
      <c r="L118" s="191"/>
      <c r="M118" s="191"/>
      <c r="N118" s="191"/>
      <c r="O118" s="191"/>
      <c r="P118" s="192"/>
      <c r="Q118" s="191"/>
      <c r="R118" s="192"/>
      <c r="S118" s="193"/>
      <c r="T118" s="194"/>
      <c r="U118" s="195"/>
    </row>
    <row r="119" spans="9:21" ht="15" customHeight="1">
      <c r="I119" s="90"/>
      <c r="J119" s="90"/>
      <c r="K119" s="91"/>
      <c r="L119" s="90"/>
      <c r="M119" s="92"/>
      <c r="N119" s="92"/>
      <c r="O119" s="90"/>
      <c r="P119" s="90"/>
      <c r="Q119" s="90"/>
    </row>
    <row r="120" spans="9:21" ht="15.75">
      <c r="J120" s="86"/>
      <c r="K120" s="87"/>
      <c r="L120" s="67"/>
      <c r="M120" s="86"/>
      <c r="N120" s="86"/>
    </row>
    <row r="121" spans="9:21" ht="15.75">
      <c r="J121" s="86"/>
      <c r="K121" s="87"/>
      <c r="L121" s="67"/>
      <c r="M121" s="86"/>
      <c r="N121" s="86"/>
    </row>
    <row r="122" spans="9:21" ht="15.75">
      <c r="J122" s="86"/>
      <c r="K122" s="87"/>
      <c r="L122" s="67"/>
      <c r="M122" s="86"/>
      <c r="N122" s="86"/>
    </row>
    <row r="123" spans="9:21" ht="15.75">
      <c r="J123" s="86"/>
      <c r="K123" s="87"/>
      <c r="L123" s="67"/>
      <c r="M123" s="86"/>
      <c r="N123" s="86"/>
    </row>
    <row r="124" spans="9:21" ht="15.75">
      <c r="J124" s="86"/>
      <c r="K124" s="87"/>
      <c r="L124" s="67"/>
      <c r="M124" s="86"/>
      <c r="N124" s="86"/>
    </row>
    <row r="125" spans="9:21" ht="15.75">
      <c r="J125" s="86"/>
      <c r="K125" s="87"/>
      <c r="L125" s="67"/>
      <c r="M125" s="86"/>
      <c r="N125" s="86"/>
    </row>
    <row r="126" spans="9:21" ht="15.75">
      <c r="J126" s="86"/>
      <c r="K126" s="87"/>
      <c r="L126" s="67"/>
      <c r="M126" s="86"/>
      <c r="N126" s="86"/>
    </row>
    <row r="127" spans="9:21" ht="15.75">
      <c r="J127" s="86"/>
      <c r="K127" s="87"/>
      <c r="L127" s="67"/>
      <c r="M127" s="86"/>
      <c r="N127" s="86"/>
    </row>
    <row r="128" spans="9:21" ht="15.75">
      <c r="J128" s="86"/>
      <c r="K128" s="87"/>
      <c r="L128" s="67"/>
      <c r="M128" s="86"/>
      <c r="N128" s="86"/>
    </row>
    <row r="129" spans="10:14" ht="15.75">
      <c r="J129" s="86"/>
      <c r="K129" s="87"/>
      <c r="L129" s="67"/>
      <c r="M129" s="86"/>
      <c r="N129" s="86"/>
    </row>
  </sheetData>
  <mergeCells count="89">
    <mergeCell ref="T1:T2"/>
    <mergeCell ref="I1:I2"/>
    <mergeCell ref="J1:J2"/>
    <mergeCell ref="K1:K2"/>
    <mergeCell ref="L1:L2"/>
    <mergeCell ref="M1:M2"/>
    <mergeCell ref="N1:N2"/>
    <mergeCell ref="O1:O2"/>
    <mergeCell ref="P1:P2"/>
    <mergeCell ref="Q1:Q2"/>
    <mergeCell ref="R1:R2"/>
    <mergeCell ref="S1:S2"/>
    <mergeCell ref="O18:O19"/>
    <mergeCell ref="A9:A10"/>
    <mergeCell ref="B9:B10"/>
    <mergeCell ref="C9:D9"/>
    <mergeCell ref="E9:E10"/>
    <mergeCell ref="F9:F10"/>
    <mergeCell ref="I18:I19"/>
    <mergeCell ref="J18:J19"/>
    <mergeCell ref="K18:K19"/>
    <mergeCell ref="L18:L19"/>
    <mergeCell ref="M18:M19"/>
    <mergeCell ref="N18:N19"/>
    <mergeCell ref="I35:I36"/>
    <mergeCell ref="J35:J36"/>
    <mergeCell ref="K35:K36"/>
    <mergeCell ref="L35:L36"/>
    <mergeCell ref="M35:M36"/>
    <mergeCell ref="P18:P19"/>
    <mergeCell ref="Q18:Q19"/>
    <mergeCell ref="R18:R19"/>
    <mergeCell ref="S18:S19"/>
    <mergeCell ref="T18:T19"/>
    <mergeCell ref="T35:T36"/>
    <mergeCell ref="I52:I53"/>
    <mergeCell ref="J52:J53"/>
    <mergeCell ref="K52:K53"/>
    <mergeCell ref="L52:L53"/>
    <mergeCell ref="M52:M53"/>
    <mergeCell ref="N52:N53"/>
    <mergeCell ref="O52:O53"/>
    <mergeCell ref="P52:P53"/>
    <mergeCell ref="Q52:Q53"/>
    <mergeCell ref="N35:N36"/>
    <mergeCell ref="O35:O36"/>
    <mergeCell ref="P35:P36"/>
    <mergeCell ref="Q35:Q36"/>
    <mergeCell ref="R35:R36"/>
    <mergeCell ref="S35:S36"/>
    <mergeCell ref="R52:R53"/>
    <mergeCell ref="S52:S53"/>
    <mergeCell ref="T52:T53"/>
    <mergeCell ref="I69:I70"/>
    <mergeCell ref="J69:J70"/>
    <mergeCell ref="K69:K70"/>
    <mergeCell ref="L69:L70"/>
    <mergeCell ref="M69:M70"/>
    <mergeCell ref="N69:N70"/>
    <mergeCell ref="O69:O70"/>
    <mergeCell ref="P69:P70"/>
    <mergeCell ref="Q69:Q70"/>
    <mergeCell ref="R69:R70"/>
    <mergeCell ref="S69:S70"/>
    <mergeCell ref="T69:T70"/>
    <mergeCell ref="I86:I87"/>
    <mergeCell ref="J86:J87"/>
    <mergeCell ref="K86:K87"/>
    <mergeCell ref="L86:L87"/>
    <mergeCell ref="M86:M87"/>
    <mergeCell ref="T86:T87"/>
    <mergeCell ref="N86:N87"/>
    <mergeCell ref="O86:O87"/>
    <mergeCell ref="P86:P87"/>
    <mergeCell ref="Q86:Q87"/>
    <mergeCell ref="R86:R87"/>
    <mergeCell ref="S86:S87"/>
    <mergeCell ref="I103:I104"/>
    <mergeCell ref="J103:J104"/>
    <mergeCell ref="K103:K104"/>
    <mergeCell ref="L103:L104"/>
    <mergeCell ref="M103:M104"/>
    <mergeCell ref="S103:S104"/>
    <mergeCell ref="T103:T104"/>
    <mergeCell ref="N103:N104"/>
    <mergeCell ref="O103:O104"/>
    <mergeCell ref="P103:P104"/>
    <mergeCell ref="Q103:Q104"/>
    <mergeCell ref="R103:R104"/>
  </mergeCell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D51"/>
  <sheetViews>
    <sheetView zoomScale="87" zoomScaleNormal="66" workbookViewId="0">
      <selection activeCell="Q15" sqref="Q15"/>
    </sheetView>
  </sheetViews>
  <sheetFormatPr defaultRowHeight="15.75"/>
  <cols>
    <col min="1" max="2" width="9.140625" style="128"/>
    <col min="3" max="4" width="10.42578125" style="128" customWidth="1"/>
    <col min="5" max="16384" width="9.140625" style="128"/>
  </cols>
  <sheetData>
    <row r="2" spans="2:4">
      <c r="B2" s="129" t="s">
        <v>37</v>
      </c>
      <c r="C2" s="129" t="s">
        <v>148</v>
      </c>
      <c r="D2" s="129" t="s">
        <v>149</v>
      </c>
    </row>
    <row r="3" spans="2:4">
      <c r="B3" s="1154" t="s">
        <v>150</v>
      </c>
      <c r="C3" s="130">
        <f>'Frekuensi dulu'!I7</f>
        <v>2200</v>
      </c>
      <c r="D3" s="131">
        <f>'Frekuensi dulu'!U7</f>
        <v>1561.2065224116136</v>
      </c>
    </row>
    <row r="4" spans="2:4">
      <c r="B4" s="1155"/>
      <c r="C4" s="130">
        <f>'Frekuensi dulu'!I8</f>
        <v>2250</v>
      </c>
      <c r="D4" s="131">
        <f>'Frekuensi dulu'!U8</f>
        <v>1576.8479795737749</v>
      </c>
    </row>
    <row r="5" spans="2:4">
      <c r="B5" s="1155"/>
      <c r="C5" s="130">
        <f>'Frekuensi dulu'!I9</f>
        <v>2300</v>
      </c>
      <c r="D5" s="131">
        <f>'Frekuensi dulu'!U9</f>
        <v>1595.3997458885765</v>
      </c>
    </row>
    <row r="6" spans="2:4">
      <c r="B6" s="1155"/>
      <c r="C6" s="130">
        <f>'Frekuensi dulu'!I10</f>
        <v>2350</v>
      </c>
      <c r="D6" s="131">
        <f>'Frekuensi dulu'!U10</f>
        <v>1616.8617457309006</v>
      </c>
    </row>
    <row r="7" spans="2:4">
      <c r="B7" s="1155"/>
      <c r="C7" s="130">
        <f>'Frekuensi dulu'!I11</f>
        <v>2400</v>
      </c>
      <c r="D7" s="131">
        <f>'Frekuensi dulu'!U11</f>
        <v>1632.5719011002079</v>
      </c>
    </row>
    <row r="8" spans="2:4">
      <c r="B8" s="1155"/>
      <c r="C8" s="130">
        <f>'Frekuensi dulu'!I12</f>
        <v>2450</v>
      </c>
      <c r="D8" s="131">
        <f>'Frekuensi dulu'!U12</f>
        <v>1648.3048095178435</v>
      </c>
    </row>
    <row r="9" spans="2:4">
      <c r="B9" s="1156"/>
      <c r="C9" s="130">
        <f>'Frekuensi dulu'!I13</f>
        <v>2500</v>
      </c>
      <c r="D9" s="131">
        <f>'Frekuensi dulu'!U13</f>
        <v>1664.0604007140591</v>
      </c>
    </row>
    <row r="10" spans="2:4">
      <c r="B10" s="1154" t="s">
        <v>151</v>
      </c>
      <c r="C10" s="131">
        <f>'Frekuensi dulu'!I24</f>
        <v>2126.6666666666665</v>
      </c>
      <c r="D10" s="131">
        <f>'Frekuensi dulu'!U24</f>
        <v>1592.2268117269732</v>
      </c>
    </row>
    <row r="11" spans="2:4">
      <c r="B11" s="1155"/>
      <c r="C11" s="131">
        <f>'Frekuensi dulu'!I25</f>
        <v>2175</v>
      </c>
      <c r="D11" s="131">
        <f>'Frekuensi dulu'!U25</f>
        <v>1606.8486240274678</v>
      </c>
    </row>
    <row r="12" spans="2:4">
      <c r="B12" s="1155"/>
      <c r="C12" s="131">
        <f>'Frekuensi dulu'!I26</f>
        <v>2223.3333333333335</v>
      </c>
      <c r="D12" s="131">
        <f>'Frekuensi dulu'!U26</f>
        <v>1624.1900679966443</v>
      </c>
    </row>
    <row r="13" spans="2:4">
      <c r="B13" s="1155"/>
      <c r="C13" s="131">
        <f>'Frekuensi dulu'!I27</f>
        <v>2271.6666666666665</v>
      </c>
      <c r="D13" s="131">
        <f>'Frekuensi dulu'!U27</f>
        <v>1644.2510726067533</v>
      </c>
    </row>
    <row r="14" spans="2:4">
      <c r="B14" s="1155"/>
      <c r="C14" s="131">
        <f>'Frekuensi dulu'!I28</f>
        <v>2320</v>
      </c>
      <c r="D14" s="131">
        <f>'Frekuensi dulu'!U28</f>
        <v>1658.9374068414691</v>
      </c>
    </row>
    <row r="15" spans="2:4">
      <c r="B15" s="1155"/>
      <c r="C15" s="131">
        <f>'Frekuensi dulu'!I29</f>
        <v>2368.3333333333335</v>
      </c>
      <c r="D15" s="131">
        <f>'Frekuensi dulu'!U29</f>
        <v>1673.6451109306338</v>
      </c>
    </row>
    <row r="16" spans="2:4">
      <c r="B16" s="1156"/>
      <c r="C16" s="131">
        <f>'Frekuensi dulu'!I30</f>
        <v>2416.6666666666665</v>
      </c>
      <c r="D16" s="131">
        <f>'Frekuensi dulu'!U30</f>
        <v>1688.3741188763079</v>
      </c>
    </row>
    <row r="17" spans="2:4">
      <c r="B17" s="1154" t="s">
        <v>137</v>
      </c>
      <c r="C17" s="131">
        <f>'Frekuensi dulu'!I41</f>
        <v>2053.3333333333335</v>
      </c>
      <c r="D17" s="131">
        <f>'Frekuensi dulu'!U41</f>
        <v>1622.1869219149407</v>
      </c>
    </row>
    <row r="18" spans="2:4">
      <c r="B18" s="1155"/>
      <c r="C18" s="131">
        <f>'Frekuensi dulu'!I42</f>
        <v>2100</v>
      </c>
      <c r="D18" s="131">
        <f>'Frekuensi dulu'!U42</f>
        <v>1635.8232866433136</v>
      </c>
    </row>
    <row r="19" spans="2:4">
      <c r="B19" s="1155"/>
      <c r="C19" s="131">
        <f>'Frekuensi dulu'!I43</f>
        <v>2146.6666666666665</v>
      </c>
      <c r="D19" s="131">
        <f>'Frekuensi dulu'!U43</f>
        <v>1651.9950622025758</v>
      </c>
    </row>
    <row r="20" spans="2:4">
      <c r="B20" s="1155"/>
      <c r="C20" s="131">
        <f>'Frekuensi dulu'!I44</f>
        <v>2193.3333333333335</v>
      </c>
      <c r="D20" s="131">
        <f>'Frekuensi dulu'!U44</f>
        <v>1670.7021820295404</v>
      </c>
    </row>
    <row r="21" spans="2:4">
      <c r="B21" s="1155"/>
      <c r="C21" s="131">
        <f>'Frekuensi dulu'!I45</f>
        <v>2240</v>
      </c>
      <c r="D21" s="131">
        <f>'Frekuensi dulu'!U45</f>
        <v>1684.3990130642464</v>
      </c>
    </row>
    <row r="22" spans="2:4">
      <c r="B22" s="1155"/>
      <c r="C22" s="131">
        <f>'Frekuensi dulu'!I46</f>
        <v>2286.6666666666665</v>
      </c>
      <c r="D22" s="131">
        <f>'Frekuensi dulu'!U46</f>
        <v>1698.1158707175125</v>
      </c>
    </row>
    <row r="23" spans="2:4">
      <c r="B23" s="1156"/>
      <c r="C23" s="131">
        <f>'Frekuensi dulu'!I47</f>
        <v>2333.3333333333335</v>
      </c>
      <c r="D23" s="131">
        <f>'Frekuensi dulu'!U47</f>
        <v>1711.8526931398028</v>
      </c>
    </row>
    <row r="24" spans="2:4">
      <c r="B24" s="1154" t="s">
        <v>138</v>
      </c>
      <c r="C24" s="131">
        <f>'Frekuensi dulu'!I58</f>
        <v>1980</v>
      </c>
      <c r="D24" s="131">
        <f>'Frekuensi dulu'!U58</f>
        <v>1651.0871160757461</v>
      </c>
    </row>
    <row r="25" spans="2:4">
      <c r="B25" s="1155"/>
      <c r="C25" s="131">
        <f>'Frekuensi dulu'!I59</f>
        <v>2025</v>
      </c>
      <c r="D25" s="131">
        <f>'Frekuensi dulu'!U59</f>
        <v>1663.7722416904394</v>
      </c>
    </row>
    <row r="26" spans="2:4">
      <c r="B26" s="1155"/>
      <c r="C26" s="131">
        <f>'Frekuensi dulu'!I60</f>
        <v>2070</v>
      </c>
      <c r="D26" s="131">
        <f>'Frekuensi dulu'!U60</f>
        <v>1678.8150141573824</v>
      </c>
    </row>
    <row r="27" spans="2:4">
      <c r="B27" s="1155"/>
      <c r="C27" s="131">
        <f>'Frekuensi dulu'!I61</f>
        <v>2115</v>
      </c>
      <c r="D27" s="131">
        <f>'Frekuensi dulu'!U61</f>
        <v>1696.2153712444374</v>
      </c>
    </row>
    <row r="28" spans="2:4">
      <c r="B28" s="1155"/>
      <c r="C28" s="131">
        <f>'Frekuensi dulu'!I62</f>
        <v>2160</v>
      </c>
      <c r="D28" s="131">
        <f>'Frekuensi dulu'!U62</f>
        <v>1708.9570288194773</v>
      </c>
    </row>
    <row r="29" spans="2:4">
      <c r="B29" s="1155"/>
      <c r="C29" s="131">
        <f>'Frekuensi dulu'!I63</f>
        <v>2205</v>
      </c>
      <c r="D29" s="131">
        <f>'Frekuensi dulu'!U63</f>
        <v>1721.7174099461101</v>
      </c>
    </row>
    <row r="30" spans="2:4">
      <c r="B30" s="1156"/>
      <c r="C30" s="131">
        <f>'Frekuensi dulu'!I64</f>
        <v>2250</v>
      </c>
      <c r="D30" s="131">
        <f>'Frekuensi dulu'!U64</f>
        <v>1734.4964567991506</v>
      </c>
    </row>
    <row r="31" spans="2:4">
      <c r="B31" s="1154" t="s">
        <v>139</v>
      </c>
      <c r="C31" s="131">
        <f>'Frekuensi dulu'!I75</f>
        <v>1906.6666666666667</v>
      </c>
      <c r="D31" s="131">
        <f>'Frekuensi dulu'!U75</f>
        <v>1678.9276683494309</v>
      </c>
    </row>
    <row r="32" spans="2:4">
      <c r="B32" s="1155"/>
      <c r="C32" s="131">
        <f>'Frekuensi dulu'!I76</f>
        <v>1950</v>
      </c>
      <c r="D32" s="131">
        <f>'Frekuensi dulu'!U76</f>
        <v>1690.6957749464382</v>
      </c>
    </row>
    <row r="33" spans="2:4">
      <c r="B33" s="1155"/>
      <c r="C33" s="131">
        <f>'Frekuensi dulu'!I77</f>
        <v>1993.3333333333335</v>
      </c>
      <c r="D33" s="131">
        <f>'Frekuensi dulu'!U77</f>
        <v>1704.650221498126</v>
      </c>
    </row>
    <row r="34" spans="2:4">
      <c r="B34" s="1155"/>
      <c r="C34" s="131">
        <f>'Frekuensi dulu'!I78</f>
        <v>2036.6666666666667</v>
      </c>
      <c r="D34" s="131">
        <f>'Frekuensi dulu'!U78</f>
        <v>1720.7909499691675</v>
      </c>
    </row>
    <row r="35" spans="2:4">
      <c r="B35" s="1155"/>
      <c r="C35" s="131">
        <f>'Frekuensi dulu'!I79</f>
        <v>2080</v>
      </c>
      <c r="D35" s="131">
        <f>'Frekuensi dulu'!U79</f>
        <v>1732.6117761260225</v>
      </c>
    </row>
    <row r="36" spans="2:4">
      <c r="B36" s="1155"/>
      <c r="C36" s="131">
        <f>'Frekuensi dulu'!I80</f>
        <v>2123.3333333333335</v>
      </c>
      <c r="D36" s="131">
        <f>'Frekuensi dulu'!U80</f>
        <v>1744.4500631562103</v>
      </c>
    </row>
    <row r="37" spans="2:4">
      <c r="B37" s="1156"/>
      <c r="C37" s="131">
        <f>'Frekuensi dulu'!I81</f>
        <v>2166.6666666666665</v>
      </c>
      <c r="D37" s="131">
        <f>'Frekuensi dulu'!U81</f>
        <v>1756.3057571341551</v>
      </c>
    </row>
    <row r="38" spans="2:4">
      <c r="B38" s="1154" t="s">
        <v>152</v>
      </c>
      <c r="C38" s="131">
        <f>'Frekuensi dulu'!I92</f>
        <v>1833.3333333333335</v>
      </c>
      <c r="D38" s="131">
        <f>'Frekuensi dulu'!U92</f>
        <v>1705.7088648149979</v>
      </c>
    </row>
    <row r="39" spans="2:4">
      <c r="B39" s="1155"/>
      <c r="C39" s="131">
        <f>'Frekuensi dulu'!I93</f>
        <v>1875</v>
      </c>
      <c r="D39" s="131">
        <f>'Frekuensi dulu'!U93</f>
        <v>1716.5941846346861</v>
      </c>
    </row>
    <row r="40" spans="2:4">
      <c r="B40" s="1155"/>
      <c r="C40" s="131">
        <f>'Frekuensi dulu'!I94</f>
        <v>1916.6666666666667</v>
      </c>
      <c r="D40" s="131">
        <f>'Frekuensi dulu'!U94</f>
        <v>1729.5009948241434</v>
      </c>
    </row>
    <row r="41" spans="2:4">
      <c r="B41" s="1155"/>
      <c r="C41" s="131">
        <f>'Frekuensi dulu'!I95</f>
        <v>1958.3333333333335</v>
      </c>
      <c r="D41" s="131">
        <f>'Frekuensi dulu'!U95</f>
        <v>1744.4292414098468</v>
      </c>
    </row>
    <row r="42" spans="2:4">
      <c r="B42" s="1155"/>
      <c r="C42" s="131">
        <f>'Frekuensi dulu'!I96</f>
        <v>2000</v>
      </c>
      <c r="D42" s="131">
        <f>'Frekuensi dulu'!U96</f>
        <v>1755.3635910268601</v>
      </c>
    </row>
    <row r="43" spans="2:4">
      <c r="B43" s="1155"/>
      <c r="C43" s="131">
        <f>'Frekuensi dulu'!I97</f>
        <v>2041.6666666666667</v>
      </c>
      <c r="D43" s="131">
        <f>'Frekuensi dulu'!U97</f>
        <v>1766.3141794570015</v>
      </c>
    </row>
    <row r="44" spans="2:4">
      <c r="B44" s="1156"/>
      <c r="C44" s="131">
        <f>'Frekuensi dulu'!I98</f>
        <v>2083.3333333333335</v>
      </c>
      <c r="D44" s="131">
        <f>'Frekuensi dulu'!U98</f>
        <v>1777.2809565488672</v>
      </c>
    </row>
    <row r="45" spans="2:4" hidden="1">
      <c r="B45" s="1153" t="s">
        <v>153</v>
      </c>
      <c r="C45" s="132">
        <v>1650</v>
      </c>
      <c r="D45" s="132">
        <v>1711.3812298281541</v>
      </c>
    </row>
    <row r="46" spans="2:4" hidden="1">
      <c r="B46" s="1153"/>
      <c r="C46" s="132">
        <v>1687.5</v>
      </c>
      <c r="D46" s="132">
        <v>1738.3470871441432</v>
      </c>
    </row>
    <row r="47" spans="2:4" hidden="1">
      <c r="B47" s="1153"/>
      <c r="C47" s="132">
        <v>1725</v>
      </c>
      <c r="D47" s="132">
        <v>1770.2417226084476</v>
      </c>
    </row>
    <row r="48" spans="2:4" hidden="1">
      <c r="B48" s="1153"/>
      <c r="C48" s="132">
        <v>1762.5</v>
      </c>
      <c r="D48" s="132">
        <v>1807.0649751079729</v>
      </c>
    </row>
    <row r="49" spans="2:4" hidden="1">
      <c r="B49" s="1153"/>
      <c r="C49" s="132">
        <v>1800</v>
      </c>
      <c r="D49" s="132">
        <v>1834.1771883028591</v>
      </c>
    </row>
    <row r="50" spans="2:4" hidden="1">
      <c r="B50" s="1153"/>
      <c r="C50" s="132">
        <v>1837.5</v>
      </c>
      <c r="D50" s="132">
        <v>1861.3378749954409</v>
      </c>
    </row>
    <row r="51" spans="2:4" hidden="1">
      <c r="B51" s="1153"/>
      <c r="C51" s="132">
        <v>1875</v>
      </c>
      <c r="D51" s="132">
        <v>1888.5468854817987</v>
      </c>
    </row>
  </sheetData>
  <mergeCells count="7">
    <mergeCell ref="B45:B51"/>
    <mergeCell ref="B3:B9"/>
    <mergeCell ref="B10:B16"/>
    <mergeCell ref="B17:B23"/>
    <mergeCell ref="B24:B30"/>
    <mergeCell ref="B31:B37"/>
    <mergeCell ref="B38:B4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67"/>
  <sheetViews>
    <sheetView view="pageLayout" topLeftCell="A34" zoomScale="85" zoomScaleNormal="100" zoomScalePageLayoutView="85" workbookViewId="0">
      <selection activeCell="G50" sqref="G50"/>
    </sheetView>
  </sheetViews>
  <sheetFormatPr defaultColWidth="9.140625" defaultRowHeight="12.75"/>
  <cols>
    <col min="1" max="1" width="4.85546875" style="475" customWidth="1"/>
    <col min="2" max="2" width="6.28515625" style="475" customWidth="1"/>
    <col min="3" max="3" width="6.140625" style="475" customWidth="1"/>
    <col min="4" max="4" width="4" style="475" customWidth="1"/>
    <col min="5" max="5" width="1.5703125" style="475" customWidth="1"/>
    <col min="6" max="6" width="8" style="475" customWidth="1"/>
    <col min="7" max="7" width="7.140625" style="475" customWidth="1"/>
    <col min="8" max="8" width="8.42578125" style="475" customWidth="1"/>
    <col min="9" max="9" width="3.140625" style="475" customWidth="1"/>
    <col min="10" max="10" width="5.7109375" style="475" customWidth="1"/>
    <col min="11" max="11" width="6.5703125" style="475" customWidth="1"/>
    <col min="12" max="12" width="2.7109375" style="475" customWidth="1"/>
    <col min="13" max="13" width="3.140625" style="475" customWidth="1"/>
    <col min="14" max="14" width="2.7109375" style="475" customWidth="1"/>
    <col min="15" max="15" width="3.7109375" style="475" customWidth="1"/>
    <col min="16" max="16" width="6.5703125" style="475" customWidth="1"/>
    <col min="17" max="17" width="3.7109375" style="475" customWidth="1"/>
    <col min="18" max="18" width="9" style="475" customWidth="1"/>
    <col min="19" max="19" width="9.42578125" style="475" customWidth="1"/>
    <col min="20" max="20" width="11.85546875" style="475" customWidth="1"/>
    <col min="21" max="21" width="12.42578125" style="475" customWidth="1"/>
    <col min="22" max="256" width="9.140625" style="475"/>
    <col min="257" max="257" width="4.85546875" style="475" customWidth="1"/>
    <col min="258" max="258" width="6.28515625" style="475" customWidth="1"/>
    <col min="259" max="259" width="6.140625" style="475" customWidth="1"/>
    <col min="260" max="260" width="4" style="475" customWidth="1"/>
    <col min="261" max="261" width="1.5703125" style="475" customWidth="1"/>
    <col min="262" max="262" width="8" style="475" customWidth="1"/>
    <col min="263" max="263" width="7.140625" style="475" customWidth="1"/>
    <col min="264" max="264" width="8.42578125" style="475" customWidth="1"/>
    <col min="265" max="265" width="3.140625" style="475" customWidth="1"/>
    <col min="266" max="266" width="5.7109375" style="475" customWidth="1"/>
    <col min="267" max="267" width="6.5703125" style="475" customWidth="1"/>
    <col min="268" max="268" width="2.7109375" style="475" customWidth="1"/>
    <col min="269" max="269" width="3.140625" style="475" customWidth="1"/>
    <col min="270" max="270" width="2.7109375" style="475" customWidth="1"/>
    <col min="271" max="271" width="3.7109375" style="475" customWidth="1"/>
    <col min="272" max="272" width="6.5703125" style="475" customWidth="1"/>
    <col min="273" max="273" width="3.7109375" style="475" customWidth="1"/>
    <col min="274" max="274" width="9" style="475" customWidth="1"/>
    <col min="275" max="275" width="9.42578125" style="475" customWidth="1"/>
    <col min="276" max="276" width="11.85546875" style="475" customWidth="1"/>
    <col min="277" max="277" width="12.42578125" style="475" customWidth="1"/>
    <col min="278" max="512" width="9.140625" style="475"/>
    <col min="513" max="513" width="4.85546875" style="475" customWidth="1"/>
    <col min="514" max="514" width="6.28515625" style="475" customWidth="1"/>
    <col min="515" max="515" width="6.140625" style="475" customWidth="1"/>
    <col min="516" max="516" width="4" style="475" customWidth="1"/>
    <col min="517" max="517" width="1.5703125" style="475" customWidth="1"/>
    <col min="518" max="518" width="8" style="475" customWidth="1"/>
    <col min="519" max="519" width="7.140625" style="475" customWidth="1"/>
    <col min="520" max="520" width="8.42578125" style="475" customWidth="1"/>
    <col min="521" max="521" width="3.140625" style="475" customWidth="1"/>
    <col min="522" max="522" width="5.7109375" style="475" customWidth="1"/>
    <col min="523" max="523" width="6.5703125" style="475" customWidth="1"/>
    <col min="524" max="524" width="2.7109375" style="475" customWidth="1"/>
    <col min="525" max="525" width="3.140625" style="475" customWidth="1"/>
    <col min="526" max="526" width="2.7109375" style="475" customWidth="1"/>
    <col min="527" max="527" width="3.7109375" style="475" customWidth="1"/>
    <col min="528" max="528" width="6.5703125" style="475" customWidth="1"/>
    <col min="529" max="529" width="3.7109375" style="475" customWidth="1"/>
    <col min="530" max="530" width="9" style="475" customWidth="1"/>
    <col min="531" max="531" width="9.42578125" style="475" customWidth="1"/>
    <col min="532" max="532" width="11.85546875" style="475" customWidth="1"/>
    <col min="533" max="533" width="12.42578125" style="475" customWidth="1"/>
    <col min="534" max="768" width="9.140625" style="475"/>
    <col min="769" max="769" width="4.85546875" style="475" customWidth="1"/>
    <col min="770" max="770" width="6.28515625" style="475" customWidth="1"/>
    <col min="771" max="771" width="6.140625" style="475" customWidth="1"/>
    <col min="772" max="772" width="4" style="475" customWidth="1"/>
    <col min="773" max="773" width="1.5703125" style="475" customWidth="1"/>
    <col min="774" max="774" width="8" style="475" customWidth="1"/>
    <col min="775" max="775" width="7.140625" style="475" customWidth="1"/>
    <col min="776" max="776" width="8.42578125" style="475" customWidth="1"/>
    <col min="777" max="777" width="3.140625" style="475" customWidth="1"/>
    <col min="778" max="778" width="5.7109375" style="475" customWidth="1"/>
    <col min="779" max="779" width="6.5703125" style="475" customWidth="1"/>
    <col min="780" max="780" width="2.7109375" style="475" customWidth="1"/>
    <col min="781" max="781" width="3.140625" style="475" customWidth="1"/>
    <col min="782" max="782" width="2.7109375" style="475" customWidth="1"/>
    <col min="783" max="783" width="3.7109375" style="475" customWidth="1"/>
    <col min="784" max="784" width="6.5703125" style="475" customWidth="1"/>
    <col min="785" max="785" width="3.7109375" style="475" customWidth="1"/>
    <col min="786" max="786" width="9" style="475" customWidth="1"/>
    <col min="787" max="787" width="9.42578125" style="475" customWidth="1"/>
    <col min="788" max="788" width="11.85546875" style="475" customWidth="1"/>
    <col min="789" max="789" width="12.42578125" style="475" customWidth="1"/>
    <col min="790" max="1024" width="9.140625" style="475"/>
    <col min="1025" max="1025" width="4.85546875" style="475" customWidth="1"/>
    <col min="1026" max="1026" width="6.28515625" style="475" customWidth="1"/>
    <col min="1027" max="1027" width="6.140625" style="475" customWidth="1"/>
    <col min="1028" max="1028" width="4" style="475" customWidth="1"/>
    <col min="1029" max="1029" width="1.5703125" style="475" customWidth="1"/>
    <col min="1030" max="1030" width="8" style="475" customWidth="1"/>
    <col min="1031" max="1031" width="7.140625" style="475" customWidth="1"/>
    <col min="1032" max="1032" width="8.42578125" style="475" customWidth="1"/>
    <col min="1033" max="1033" width="3.140625" style="475" customWidth="1"/>
    <col min="1034" max="1034" width="5.7109375" style="475" customWidth="1"/>
    <col min="1035" max="1035" width="6.5703125" style="475" customWidth="1"/>
    <col min="1036" max="1036" width="2.7109375" style="475" customWidth="1"/>
    <col min="1037" max="1037" width="3.140625" style="475" customWidth="1"/>
    <col min="1038" max="1038" width="2.7109375" style="475" customWidth="1"/>
    <col min="1039" max="1039" width="3.7109375" style="475" customWidth="1"/>
    <col min="1040" max="1040" width="6.5703125" style="475" customWidth="1"/>
    <col min="1041" max="1041" width="3.7109375" style="475" customWidth="1"/>
    <col min="1042" max="1042" width="9" style="475" customWidth="1"/>
    <col min="1043" max="1043" width="9.42578125" style="475" customWidth="1"/>
    <col min="1044" max="1044" width="11.85546875" style="475" customWidth="1"/>
    <col min="1045" max="1045" width="12.42578125" style="475" customWidth="1"/>
    <col min="1046" max="1280" width="9.140625" style="475"/>
    <col min="1281" max="1281" width="4.85546875" style="475" customWidth="1"/>
    <col min="1282" max="1282" width="6.28515625" style="475" customWidth="1"/>
    <col min="1283" max="1283" width="6.140625" style="475" customWidth="1"/>
    <col min="1284" max="1284" width="4" style="475" customWidth="1"/>
    <col min="1285" max="1285" width="1.5703125" style="475" customWidth="1"/>
    <col min="1286" max="1286" width="8" style="475" customWidth="1"/>
    <col min="1287" max="1287" width="7.140625" style="475" customWidth="1"/>
    <col min="1288" max="1288" width="8.42578125" style="475" customWidth="1"/>
    <col min="1289" max="1289" width="3.140625" style="475" customWidth="1"/>
    <col min="1290" max="1290" width="5.7109375" style="475" customWidth="1"/>
    <col min="1291" max="1291" width="6.5703125" style="475" customWidth="1"/>
    <col min="1292" max="1292" width="2.7109375" style="475" customWidth="1"/>
    <col min="1293" max="1293" width="3.140625" style="475" customWidth="1"/>
    <col min="1294" max="1294" width="2.7109375" style="475" customWidth="1"/>
    <col min="1295" max="1295" width="3.7109375" style="475" customWidth="1"/>
    <col min="1296" max="1296" width="6.5703125" style="475" customWidth="1"/>
    <col min="1297" max="1297" width="3.7109375" style="475" customWidth="1"/>
    <col min="1298" max="1298" width="9" style="475" customWidth="1"/>
    <col min="1299" max="1299" width="9.42578125" style="475" customWidth="1"/>
    <col min="1300" max="1300" width="11.85546875" style="475" customWidth="1"/>
    <col min="1301" max="1301" width="12.42578125" style="475" customWidth="1"/>
    <col min="1302" max="1536" width="9.140625" style="475"/>
    <col min="1537" max="1537" width="4.85546875" style="475" customWidth="1"/>
    <col min="1538" max="1538" width="6.28515625" style="475" customWidth="1"/>
    <col min="1539" max="1539" width="6.140625" style="475" customWidth="1"/>
    <col min="1540" max="1540" width="4" style="475" customWidth="1"/>
    <col min="1541" max="1541" width="1.5703125" style="475" customWidth="1"/>
    <col min="1542" max="1542" width="8" style="475" customWidth="1"/>
    <col min="1543" max="1543" width="7.140625" style="475" customWidth="1"/>
    <col min="1544" max="1544" width="8.42578125" style="475" customWidth="1"/>
    <col min="1545" max="1545" width="3.140625" style="475" customWidth="1"/>
    <col min="1546" max="1546" width="5.7109375" style="475" customWidth="1"/>
    <col min="1547" max="1547" width="6.5703125" style="475" customWidth="1"/>
    <col min="1548" max="1548" width="2.7109375" style="475" customWidth="1"/>
    <col min="1549" max="1549" width="3.140625" style="475" customWidth="1"/>
    <col min="1550" max="1550" width="2.7109375" style="475" customWidth="1"/>
    <col min="1551" max="1551" width="3.7109375" style="475" customWidth="1"/>
    <col min="1552" max="1552" width="6.5703125" style="475" customWidth="1"/>
    <col min="1553" max="1553" width="3.7109375" style="475" customWidth="1"/>
    <col min="1554" max="1554" width="9" style="475" customWidth="1"/>
    <col min="1555" max="1555" width="9.42578125" style="475" customWidth="1"/>
    <col min="1556" max="1556" width="11.85546875" style="475" customWidth="1"/>
    <col min="1557" max="1557" width="12.42578125" style="475" customWidth="1"/>
    <col min="1558" max="1792" width="9.140625" style="475"/>
    <col min="1793" max="1793" width="4.85546875" style="475" customWidth="1"/>
    <col min="1794" max="1794" width="6.28515625" style="475" customWidth="1"/>
    <col min="1795" max="1795" width="6.140625" style="475" customWidth="1"/>
    <col min="1796" max="1796" width="4" style="475" customWidth="1"/>
    <col min="1797" max="1797" width="1.5703125" style="475" customWidth="1"/>
    <col min="1798" max="1798" width="8" style="475" customWidth="1"/>
    <col min="1799" max="1799" width="7.140625" style="475" customWidth="1"/>
    <col min="1800" max="1800" width="8.42578125" style="475" customWidth="1"/>
    <col min="1801" max="1801" width="3.140625" style="475" customWidth="1"/>
    <col min="1802" max="1802" width="5.7109375" style="475" customWidth="1"/>
    <col min="1803" max="1803" width="6.5703125" style="475" customWidth="1"/>
    <col min="1804" max="1804" width="2.7109375" style="475" customWidth="1"/>
    <col min="1805" max="1805" width="3.140625" style="475" customWidth="1"/>
    <col min="1806" max="1806" width="2.7109375" style="475" customWidth="1"/>
    <col min="1807" max="1807" width="3.7109375" style="475" customWidth="1"/>
    <col min="1808" max="1808" width="6.5703125" style="475" customWidth="1"/>
    <col min="1809" max="1809" width="3.7109375" style="475" customWidth="1"/>
    <col min="1810" max="1810" width="9" style="475" customWidth="1"/>
    <col min="1811" max="1811" width="9.42578125" style="475" customWidth="1"/>
    <col min="1812" max="1812" width="11.85546875" style="475" customWidth="1"/>
    <col min="1813" max="1813" width="12.42578125" style="475" customWidth="1"/>
    <col min="1814" max="2048" width="9.140625" style="475"/>
    <col min="2049" max="2049" width="4.85546875" style="475" customWidth="1"/>
    <col min="2050" max="2050" width="6.28515625" style="475" customWidth="1"/>
    <col min="2051" max="2051" width="6.140625" style="475" customWidth="1"/>
    <col min="2052" max="2052" width="4" style="475" customWidth="1"/>
    <col min="2053" max="2053" width="1.5703125" style="475" customWidth="1"/>
    <col min="2054" max="2054" width="8" style="475" customWidth="1"/>
    <col min="2055" max="2055" width="7.140625" style="475" customWidth="1"/>
    <col min="2056" max="2056" width="8.42578125" style="475" customWidth="1"/>
    <col min="2057" max="2057" width="3.140625" style="475" customWidth="1"/>
    <col min="2058" max="2058" width="5.7109375" style="475" customWidth="1"/>
    <col min="2059" max="2059" width="6.5703125" style="475" customWidth="1"/>
    <col min="2060" max="2060" width="2.7109375" style="475" customWidth="1"/>
    <col min="2061" max="2061" width="3.140625" style="475" customWidth="1"/>
    <col min="2062" max="2062" width="2.7109375" style="475" customWidth="1"/>
    <col min="2063" max="2063" width="3.7109375" style="475" customWidth="1"/>
    <col min="2064" max="2064" width="6.5703125" style="475" customWidth="1"/>
    <col min="2065" max="2065" width="3.7109375" style="475" customWidth="1"/>
    <col min="2066" max="2066" width="9" style="475" customWidth="1"/>
    <col min="2067" max="2067" width="9.42578125" style="475" customWidth="1"/>
    <col min="2068" max="2068" width="11.85546875" style="475" customWidth="1"/>
    <col min="2069" max="2069" width="12.42578125" style="475" customWidth="1"/>
    <col min="2070" max="2304" width="9.140625" style="475"/>
    <col min="2305" max="2305" width="4.85546875" style="475" customWidth="1"/>
    <col min="2306" max="2306" width="6.28515625" style="475" customWidth="1"/>
    <col min="2307" max="2307" width="6.140625" style="475" customWidth="1"/>
    <col min="2308" max="2308" width="4" style="475" customWidth="1"/>
    <col min="2309" max="2309" width="1.5703125" style="475" customWidth="1"/>
    <col min="2310" max="2310" width="8" style="475" customWidth="1"/>
    <col min="2311" max="2311" width="7.140625" style="475" customWidth="1"/>
    <col min="2312" max="2312" width="8.42578125" style="475" customWidth="1"/>
    <col min="2313" max="2313" width="3.140625" style="475" customWidth="1"/>
    <col min="2314" max="2314" width="5.7109375" style="475" customWidth="1"/>
    <col min="2315" max="2315" width="6.5703125" style="475" customWidth="1"/>
    <col min="2316" max="2316" width="2.7109375" style="475" customWidth="1"/>
    <col min="2317" max="2317" width="3.140625" style="475" customWidth="1"/>
    <col min="2318" max="2318" width="2.7109375" style="475" customWidth="1"/>
    <col min="2319" max="2319" width="3.7109375" style="475" customWidth="1"/>
    <col min="2320" max="2320" width="6.5703125" style="475" customWidth="1"/>
    <col min="2321" max="2321" width="3.7109375" style="475" customWidth="1"/>
    <col min="2322" max="2322" width="9" style="475" customWidth="1"/>
    <col min="2323" max="2323" width="9.42578125" style="475" customWidth="1"/>
    <col min="2324" max="2324" width="11.85546875" style="475" customWidth="1"/>
    <col min="2325" max="2325" width="12.42578125" style="475" customWidth="1"/>
    <col min="2326" max="2560" width="9.140625" style="475"/>
    <col min="2561" max="2561" width="4.85546875" style="475" customWidth="1"/>
    <col min="2562" max="2562" width="6.28515625" style="475" customWidth="1"/>
    <col min="2563" max="2563" width="6.140625" style="475" customWidth="1"/>
    <col min="2564" max="2564" width="4" style="475" customWidth="1"/>
    <col min="2565" max="2565" width="1.5703125" style="475" customWidth="1"/>
    <col min="2566" max="2566" width="8" style="475" customWidth="1"/>
    <col min="2567" max="2567" width="7.140625" style="475" customWidth="1"/>
    <col min="2568" max="2568" width="8.42578125" style="475" customWidth="1"/>
    <col min="2569" max="2569" width="3.140625" style="475" customWidth="1"/>
    <col min="2570" max="2570" width="5.7109375" style="475" customWidth="1"/>
    <col min="2571" max="2571" width="6.5703125" style="475" customWidth="1"/>
    <col min="2572" max="2572" width="2.7109375" style="475" customWidth="1"/>
    <col min="2573" max="2573" width="3.140625" style="475" customWidth="1"/>
    <col min="2574" max="2574" width="2.7109375" style="475" customWidth="1"/>
    <col min="2575" max="2575" width="3.7109375" style="475" customWidth="1"/>
    <col min="2576" max="2576" width="6.5703125" style="475" customWidth="1"/>
    <col min="2577" max="2577" width="3.7109375" style="475" customWidth="1"/>
    <col min="2578" max="2578" width="9" style="475" customWidth="1"/>
    <col min="2579" max="2579" width="9.42578125" style="475" customWidth="1"/>
    <col min="2580" max="2580" width="11.85546875" style="475" customWidth="1"/>
    <col min="2581" max="2581" width="12.42578125" style="475" customWidth="1"/>
    <col min="2582" max="2816" width="9.140625" style="475"/>
    <col min="2817" max="2817" width="4.85546875" style="475" customWidth="1"/>
    <col min="2818" max="2818" width="6.28515625" style="475" customWidth="1"/>
    <col min="2819" max="2819" width="6.140625" style="475" customWidth="1"/>
    <col min="2820" max="2820" width="4" style="475" customWidth="1"/>
    <col min="2821" max="2821" width="1.5703125" style="475" customWidth="1"/>
    <col min="2822" max="2822" width="8" style="475" customWidth="1"/>
    <col min="2823" max="2823" width="7.140625" style="475" customWidth="1"/>
    <col min="2824" max="2824" width="8.42578125" style="475" customWidth="1"/>
    <col min="2825" max="2825" width="3.140625" style="475" customWidth="1"/>
    <col min="2826" max="2826" width="5.7109375" style="475" customWidth="1"/>
    <col min="2827" max="2827" width="6.5703125" style="475" customWidth="1"/>
    <col min="2828" max="2828" width="2.7109375" style="475" customWidth="1"/>
    <col min="2829" max="2829" width="3.140625" style="475" customWidth="1"/>
    <col min="2830" max="2830" width="2.7109375" style="475" customWidth="1"/>
    <col min="2831" max="2831" width="3.7109375" style="475" customWidth="1"/>
    <col min="2832" max="2832" width="6.5703125" style="475" customWidth="1"/>
    <col min="2833" max="2833" width="3.7109375" style="475" customWidth="1"/>
    <col min="2834" max="2834" width="9" style="475" customWidth="1"/>
    <col min="2835" max="2835" width="9.42578125" style="475" customWidth="1"/>
    <col min="2836" max="2836" width="11.85546875" style="475" customWidth="1"/>
    <col min="2837" max="2837" width="12.42578125" style="475" customWidth="1"/>
    <col min="2838" max="3072" width="9.140625" style="475"/>
    <col min="3073" max="3073" width="4.85546875" style="475" customWidth="1"/>
    <col min="3074" max="3074" width="6.28515625" style="475" customWidth="1"/>
    <col min="3075" max="3075" width="6.140625" style="475" customWidth="1"/>
    <col min="3076" max="3076" width="4" style="475" customWidth="1"/>
    <col min="3077" max="3077" width="1.5703125" style="475" customWidth="1"/>
    <col min="3078" max="3078" width="8" style="475" customWidth="1"/>
    <col min="3079" max="3079" width="7.140625" style="475" customWidth="1"/>
    <col min="3080" max="3080" width="8.42578125" style="475" customWidth="1"/>
    <col min="3081" max="3081" width="3.140625" style="475" customWidth="1"/>
    <col min="3082" max="3082" width="5.7109375" style="475" customWidth="1"/>
    <col min="3083" max="3083" width="6.5703125" style="475" customWidth="1"/>
    <col min="3084" max="3084" width="2.7109375" style="475" customWidth="1"/>
    <col min="3085" max="3085" width="3.140625" style="475" customWidth="1"/>
    <col min="3086" max="3086" width="2.7109375" style="475" customWidth="1"/>
    <col min="3087" max="3087" width="3.7109375" style="475" customWidth="1"/>
    <col min="3088" max="3088" width="6.5703125" style="475" customWidth="1"/>
    <col min="3089" max="3089" width="3.7109375" style="475" customWidth="1"/>
    <col min="3090" max="3090" width="9" style="475" customWidth="1"/>
    <col min="3091" max="3091" width="9.42578125" style="475" customWidth="1"/>
    <col min="3092" max="3092" width="11.85546875" style="475" customWidth="1"/>
    <col min="3093" max="3093" width="12.42578125" style="475" customWidth="1"/>
    <col min="3094" max="3328" width="9.140625" style="475"/>
    <col min="3329" max="3329" width="4.85546875" style="475" customWidth="1"/>
    <col min="3330" max="3330" width="6.28515625" style="475" customWidth="1"/>
    <col min="3331" max="3331" width="6.140625" style="475" customWidth="1"/>
    <col min="3332" max="3332" width="4" style="475" customWidth="1"/>
    <col min="3333" max="3333" width="1.5703125" style="475" customWidth="1"/>
    <col min="3334" max="3334" width="8" style="475" customWidth="1"/>
    <col min="3335" max="3335" width="7.140625" style="475" customWidth="1"/>
    <col min="3336" max="3336" width="8.42578125" style="475" customWidth="1"/>
    <col min="3337" max="3337" width="3.140625" style="475" customWidth="1"/>
    <col min="3338" max="3338" width="5.7109375" style="475" customWidth="1"/>
    <col min="3339" max="3339" width="6.5703125" style="475" customWidth="1"/>
    <col min="3340" max="3340" width="2.7109375" style="475" customWidth="1"/>
    <col min="3341" max="3341" width="3.140625" style="475" customWidth="1"/>
    <col min="3342" max="3342" width="2.7109375" style="475" customWidth="1"/>
    <col min="3343" max="3343" width="3.7109375" style="475" customWidth="1"/>
    <col min="3344" max="3344" width="6.5703125" style="475" customWidth="1"/>
    <col min="3345" max="3345" width="3.7109375" style="475" customWidth="1"/>
    <col min="3346" max="3346" width="9" style="475" customWidth="1"/>
    <col min="3347" max="3347" width="9.42578125" style="475" customWidth="1"/>
    <col min="3348" max="3348" width="11.85546875" style="475" customWidth="1"/>
    <col min="3349" max="3349" width="12.42578125" style="475" customWidth="1"/>
    <col min="3350" max="3584" width="9.140625" style="475"/>
    <col min="3585" max="3585" width="4.85546875" style="475" customWidth="1"/>
    <col min="3586" max="3586" width="6.28515625" style="475" customWidth="1"/>
    <col min="3587" max="3587" width="6.140625" style="475" customWidth="1"/>
    <col min="3588" max="3588" width="4" style="475" customWidth="1"/>
    <col min="3589" max="3589" width="1.5703125" style="475" customWidth="1"/>
    <col min="3590" max="3590" width="8" style="475" customWidth="1"/>
    <col min="3591" max="3591" width="7.140625" style="475" customWidth="1"/>
    <col min="3592" max="3592" width="8.42578125" style="475" customWidth="1"/>
    <col min="3593" max="3593" width="3.140625" style="475" customWidth="1"/>
    <col min="3594" max="3594" width="5.7109375" style="475" customWidth="1"/>
    <col min="3595" max="3595" width="6.5703125" style="475" customWidth="1"/>
    <col min="3596" max="3596" width="2.7109375" style="475" customWidth="1"/>
    <col min="3597" max="3597" width="3.140625" style="475" customWidth="1"/>
    <col min="3598" max="3598" width="2.7109375" style="475" customWidth="1"/>
    <col min="3599" max="3599" width="3.7109375" style="475" customWidth="1"/>
    <col min="3600" max="3600" width="6.5703125" style="475" customWidth="1"/>
    <col min="3601" max="3601" width="3.7109375" style="475" customWidth="1"/>
    <col min="3602" max="3602" width="9" style="475" customWidth="1"/>
    <col min="3603" max="3603" width="9.42578125" style="475" customWidth="1"/>
    <col min="3604" max="3604" width="11.85546875" style="475" customWidth="1"/>
    <col min="3605" max="3605" width="12.42578125" style="475" customWidth="1"/>
    <col min="3606" max="3840" width="9.140625" style="475"/>
    <col min="3841" max="3841" width="4.85546875" style="475" customWidth="1"/>
    <col min="3842" max="3842" width="6.28515625" style="475" customWidth="1"/>
    <col min="3843" max="3843" width="6.140625" style="475" customWidth="1"/>
    <col min="3844" max="3844" width="4" style="475" customWidth="1"/>
    <col min="3845" max="3845" width="1.5703125" style="475" customWidth="1"/>
    <col min="3846" max="3846" width="8" style="475" customWidth="1"/>
    <col min="3847" max="3847" width="7.140625" style="475" customWidth="1"/>
    <col min="3848" max="3848" width="8.42578125" style="475" customWidth="1"/>
    <col min="3849" max="3849" width="3.140625" style="475" customWidth="1"/>
    <col min="3850" max="3850" width="5.7109375" style="475" customWidth="1"/>
    <col min="3851" max="3851" width="6.5703125" style="475" customWidth="1"/>
    <col min="3852" max="3852" width="2.7109375" style="475" customWidth="1"/>
    <col min="3853" max="3853" width="3.140625" style="475" customWidth="1"/>
    <col min="3854" max="3854" width="2.7109375" style="475" customWidth="1"/>
    <col min="3855" max="3855" width="3.7109375" style="475" customWidth="1"/>
    <col min="3856" max="3856" width="6.5703125" style="475" customWidth="1"/>
    <col min="3857" max="3857" width="3.7109375" style="475" customWidth="1"/>
    <col min="3858" max="3858" width="9" style="475" customWidth="1"/>
    <col min="3859" max="3859" width="9.42578125" style="475" customWidth="1"/>
    <col min="3860" max="3860" width="11.85546875" style="475" customWidth="1"/>
    <col min="3861" max="3861" width="12.42578125" style="475" customWidth="1"/>
    <col min="3862" max="4096" width="9.140625" style="475"/>
    <col min="4097" max="4097" width="4.85546875" style="475" customWidth="1"/>
    <col min="4098" max="4098" width="6.28515625" style="475" customWidth="1"/>
    <col min="4099" max="4099" width="6.140625" style="475" customWidth="1"/>
    <col min="4100" max="4100" width="4" style="475" customWidth="1"/>
    <col min="4101" max="4101" width="1.5703125" style="475" customWidth="1"/>
    <col min="4102" max="4102" width="8" style="475" customWidth="1"/>
    <col min="4103" max="4103" width="7.140625" style="475" customWidth="1"/>
    <col min="4104" max="4104" width="8.42578125" style="475" customWidth="1"/>
    <col min="4105" max="4105" width="3.140625" style="475" customWidth="1"/>
    <col min="4106" max="4106" width="5.7109375" style="475" customWidth="1"/>
    <col min="4107" max="4107" width="6.5703125" style="475" customWidth="1"/>
    <col min="4108" max="4108" width="2.7109375" style="475" customWidth="1"/>
    <col min="4109" max="4109" width="3.140625" style="475" customWidth="1"/>
    <col min="4110" max="4110" width="2.7109375" style="475" customWidth="1"/>
    <col min="4111" max="4111" width="3.7109375" style="475" customWidth="1"/>
    <col min="4112" max="4112" width="6.5703125" style="475" customWidth="1"/>
    <col min="4113" max="4113" width="3.7109375" style="475" customWidth="1"/>
    <col min="4114" max="4114" width="9" style="475" customWidth="1"/>
    <col min="4115" max="4115" width="9.42578125" style="475" customWidth="1"/>
    <col min="4116" max="4116" width="11.85546875" style="475" customWidth="1"/>
    <col min="4117" max="4117" width="12.42578125" style="475" customWidth="1"/>
    <col min="4118" max="4352" width="9.140625" style="475"/>
    <col min="4353" max="4353" width="4.85546875" style="475" customWidth="1"/>
    <col min="4354" max="4354" width="6.28515625" style="475" customWidth="1"/>
    <col min="4355" max="4355" width="6.140625" style="475" customWidth="1"/>
    <col min="4356" max="4356" width="4" style="475" customWidth="1"/>
    <col min="4357" max="4357" width="1.5703125" style="475" customWidth="1"/>
    <col min="4358" max="4358" width="8" style="475" customWidth="1"/>
    <col min="4359" max="4359" width="7.140625" style="475" customWidth="1"/>
    <col min="4360" max="4360" width="8.42578125" style="475" customWidth="1"/>
    <col min="4361" max="4361" width="3.140625" style="475" customWidth="1"/>
    <col min="4362" max="4362" width="5.7109375" style="475" customWidth="1"/>
    <col min="4363" max="4363" width="6.5703125" style="475" customWidth="1"/>
    <col min="4364" max="4364" width="2.7109375" style="475" customWidth="1"/>
    <col min="4365" max="4365" width="3.140625" style="475" customWidth="1"/>
    <col min="4366" max="4366" width="2.7109375" style="475" customWidth="1"/>
    <col min="4367" max="4367" width="3.7109375" style="475" customWidth="1"/>
    <col min="4368" max="4368" width="6.5703125" style="475" customWidth="1"/>
    <col min="4369" max="4369" width="3.7109375" style="475" customWidth="1"/>
    <col min="4370" max="4370" width="9" style="475" customWidth="1"/>
    <col min="4371" max="4371" width="9.42578125" style="475" customWidth="1"/>
    <col min="4372" max="4372" width="11.85546875" style="475" customWidth="1"/>
    <col min="4373" max="4373" width="12.42578125" style="475" customWidth="1"/>
    <col min="4374" max="4608" width="9.140625" style="475"/>
    <col min="4609" max="4609" width="4.85546875" style="475" customWidth="1"/>
    <col min="4610" max="4610" width="6.28515625" style="475" customWidth="1"/>
    <col min="4611" max="4611" width="6.140625" style="475" customWidth="1"/>
    <col min="4612" max="4612" width="4" style="475" customWidth="1"/>
    <col min="4613" max="4613" width="1.5703125" style="475" customWidth="1"/>
    <col min="4614" max="4614" width="8" style="475" customWidth="1"/>
    <col min="4615" max="4615" width="7.140625" style="475" customWidth="1"/>
    <col min="4616" max="4616" width="8.42578125" style="475" customWidth="1"/>
    <col min="4617" max="4617" width="3.140625" style="475" customWidth="1"/>
    <col min="4618" max="4618" width="5.7109375" style="475" customWidth="1"/>
    <col min="4619" max="4619" width="6.5703125" style="475" customWidth="1"/>
    <col min="4620" max="4620" width="2.7109375" style="475" customWidth="1"/>
    <col min="4621" max="4621" width="3.140625" style="475" customWidth="1"/>
    <col min="4622" max="4622" width="2.7109375" style="475" customWidth="1"/>
    <col min="4623" max="4623" width="3.7109375" style="475" customWidth="1"/>
    <col min="4624" max="4624" width="6.5703125" style="475" customWidth="1"/>
    <col min="4625" max="4625" width="3.7109375" style="475" customWidth="1"/>
    <col min="4626" max="4626" width="9" style="475" customWidth="1"/>
    <col min="4627" max="4627" width="9.42578125" style="475" customWidth="1"/>
    <col min="4628" max="4628" width="11.85546875" style="475" customWidth="1"/>
    <col min="4629" max="4629" width="12.42578125" style="475" customWidth="1"/>
    <col min="4630" max="4864" width="9.140625" style="475"/>
    <col min="4865" max="4865" width="4.85546875" style="475" customWidth="1"/>
    <col min="4866" max="4866" width="6.28515625" style="475" customWidth="1"/>
    <col min="4867" max="4867" width="6.140625" style="475" customWidth="1"/>
    <col min="4868" max="4868" width="4" style="475" customWidth="1"/>
    <col min="4869" max="4869" width="1.5703125" style="475" customWidth="1"/>
    <col min="4870" max="4870" width="8" style="475" customWidth="1"/>
    <col min="4871" max="4871" width="7.140625" style="475" customWidth="1"/>
    <col min="4872" max="4872" width="8.42578125" style="475" customWidth="1"/>
    <col min="4873" max="4873" width="3.140625" style="475" customWidth="1"/>
    <col min="4874" max="4874" width="5.7109375" style="475" customWidth="1"/>
    <col min="4875" max="4875" width="6.5703125" style="475" customWidth="1"/>
    <col min="4876" max="4876" width="2.7109375" style="475" customWidth="1"/>
    <col min="4877" max="4877" width="3.140625" style="475" customWidth="1"/>
    <col min="4878" max="4878" width="2.7109375" style="475" customWidth="1"/>
    <col min="4879" max="4879" width="3.7109375" style="475" customWidth="1"/>
    <col min="4880" max="4880" width="6.5703125" style="475" customWidth="1"/>
    <col min="4881" max="4881" width="3.7109375" style="475" customWidth="1"/>
    <col min="4882" max="4882" width="9" style="475" customWidth="1"/>
    <col min="4883" max="4883" width="9.42578125" style="475" customWidth="1"/>
    <col min="4884" max="4884" width="11.85546875" style="475" customWidth="1"/>
    <col min="4885" max="4885" width="12.42578125" style="475" customWidth="1"/>
    <col min="4886" max="5120" width="9.140625" style="475"/>
    <col min="5121" max="5121" width="4.85546875" style="475" customWidth="1"/>
    <col min="5122" max="5122" width="6.28515625" style="475" customWidth="1"/>
    <col min="5123" max="5123" width="6.140625" style="475" customWidth="1"/>
    <col min="5124" max="5124" width="4" style="475" customWidth="1"/>
    <col min="5125" max="5125" width="1.5703125" style="475" customWidth="1"/>
    <col min="5126" max="5126" width="8" style="475" customWidth="1"/>
    <col min="5127" max="5127" width="7.140625" style="475" customWidth="1"/>
    <col min="5128" max="5128" width="8.42578125" style="475" customWidth="1"/>
    <col min="5129" max="5129" width="3.140625" style="475" customWidth="1"/>
    <col min="5130" max="5130" width="5.7109375" style="475" customWidth="1"/>
    <col min="5131" max="5131" width="6.5703125" style="475" customWidth="1"/>
    <col min="5132" max="5132" width="2.7109375" style="475" customWidth="1"/>
    <col min="5133" max="5133" width="3.140625" style="475" customWidth="1"/>
    <col min="5134" max="5134" width="2.7109375" style="475" customWidth="1"/>
    <col min="5135" max="5135" width="3.7109375" style="475" customWidth="1"/>
    <col min="5136" max="5136" width="6.5703125" style="475" customWidth="1"/>
    <col min="5137" max="5137" width="3.7109375" style="475" customWidth="1"/>
    <col min="5138" max="5138" width="9" style="475" customWidth="1"/>
    <col min="5139" max="5139" width="9.42578125" style="475" customWidth="1"/>
    <col min="5140" max="5140" width="11.85546875" style="475" customWidth="1"/>
    <col min="5141" max="5141" width="12.42578125" style="475" customWidth="1"/>
    <col min="5142" max="5376" width="9.140625" style="475"/>
    <col min="5377" max="5377" width="4.85546875" style="475" customWidth="1"/>
    <col min="5378" max="5378" width="6.28515625" style="475" customWidth="1"/>
    <col min="5379" max="5379" width="6.140625" style="475" customWidth="1"/>
    <col min="5380" max="5380" width="4" style="475" customWidth="1"/>
    <col min="5381" max="5381" width="1.5703125" style="475" customWidth="1"/>
    <col min="5382" max="5382" width="8" style="475" customWidth="1"/>
    <col min="5383" max="5383" width="7.140625" style="475" customWidth="1"/>
    <col min="5384" max="5384" width="8.42578125" style="475" customWidth="1"/>
    <col min="5385" max="5385" width="3.140625" style="475" customWidth="1"/>
    <col min="5386" max="5386" width="5.7109375" style="475" customWidth="1"/>
    <col min="5387" max="5387" width="6.5703125" style="475" customWidth="1"/>
    <col min="5388" max="5388" width="2.7109375" style="475" customWidth="1"/>
    <col min="5389" max="5389" width="3.140625" style="475" customWidth="1"/>
    <col min="5390" max="5390" width="2.7109375" style="475" customWidth="1"/>
    <col min="5391" max="5391" width="3.7109375" style="475" customWidth="1"/>
    <col min="5392" max="5392" width="6.5703125" style="475" customWidth="1"/>
    <col min="5393" max="5393" width="3.7109375" style="475" customWidth="1"/>
    <col min="5394" max="5394" width="9" style="475" customWidth="1"/>
    <col min="5395" max="5395" width="9.42578125" style="475" customWidth="1"/>
    <col min="5396" max="5396" width="11.85546875" style="475" customWidth="1"/>
    <col min="5397" max="5397" width="12.42578125" style="475" customWidth="1"/>
    <col min="5398" max="5632" width="9.140625" style="475"/>
    <col min="5633" max="5633" width="4.85546875" style="475" customWidth="1"/>
    <col min="5634" max="5634" width="6.28515625" style="475" customWidth="1"/>
    <col min="5635" max="5635" width="6.140625" style="475" customWidth="1"/>
    <col min="5636" max="5636" width="4" style="475" customWidth="1"/>
    <col min="5637" max="5637" width="1.5703125" style="475" customWidth="1"/>
    <col min="5638" max="5638" width="8" style="475" customWidth="1"/>
    <col min="5639" max="5639" width="7.140625" style="475" customWidth="1"/>
    <col min="5640" max="5640" width="8.42578125" style="475" customWidth="1"/>
    <col min="5641" max="5641" width="3.140625" style="475" customWidth="1"/>
    <col min="5642" max="5642" width="5.7109375" style="475" customWidth="1"/>
    <col min="5643" max="5643" width="6.5703125" style="475" customWidth="1"/>
    <col min="5644" max="5644" width="2.7109375" style="475" customWidth="1"/>
    <col min="5645" max="5645" width="3.140625" style="475" customWidth="1"/>
    <col min="5646" max="5646" width="2.7109375" style="475" customWidth="1"/>
    <col min="5647" max="5647" width="3.7109375" style="475" customWidth="1"/>
    <col min="5648" max="5648" width="6.5703125" style="475" customWidth="1"/>
    <col min="5649" max="5649" width="3.7109375" style="475" customWidth="1"/>
    <col min="5650" max="5650" width="9" style="475" customWidth="1"/>
    <col min="5651" max="5651" width="9.42578125" style="475" customWidth="1"/>
    <col min="5652" max="5652" width="11.85546875" style="475" customWidth="1"/>
    <col min="5653" max="5653" width="12.42578125" style="475" customWidth="1"/>
    <col min="5654" max="5888" width="9.140625" style="475"/>
    <col min="5889" max="5889" width="4.85546875" style="475" customWidth="1"/>
    <col min="5890" max="5890" width="6.28515625" style="475" customWidth="1"/>
    <col min="5891" max="5891" width="6.140625" style="475" customWidth="1"/>
    <col min="5892" max="5892" width="4" style="475" customWidth="1"/>
    <col min="5893" max="5893" width="1.5703125" style="475" customWidth="1"/>
    <col min="5894" max="5894" width="8" style="475" customWidth="1"/>
    <col min="5895" max="5895" width="7.140625" style="475" customWidth="1"/>
    <col min="5896" max="5896" width="8.42578125" style="475" customWidth="1"/>
    <col min="5897" max="5897" width="3.140625" style="475" customWidth="1"/>
    <col min="5898" max="5898" width="5.7109375" style="475" customWidth="1"/>
    <col min="5899" max="5899" width="6.5703125" style="475" customWidth="1"/>
    <col min="5900" max="5900" width="2.7109375" style="475" customWidth="1"/>
    <col min="5901" max="5901" width="3.140625" style="475" customWidth="1"/>
    <col min="5902" max="5902" width="2.7109375" style="475" customWidth="1"/>
    <col min="5903" max="5903" width="3.7109375" style="475" customWidth="1"/>
    <col min="5904" max="5904" width="6.5703125" style="475" customWidth="1"/>
    <col min="5905" max="5905" width="3.7109375" style="475" customWidth="1"/>
    <col min="5906" max="5906" width="9" style="475" customWidth="1"/>
    <col min="5907" max="5907" width="9.42578125" style="475" customWidth="1"/>
    <col min="5908" max="5908" width="11.85546875" style="475" customWidth="1"/>
    <col min="5909" max="5909" width="12.42578125" style="475" customWidth="1"/>
    <col min="5910" max="6144" width="9.140625" style="475"/>
    <col min="6145" max="6145" width="4.85546875" style="475" customWidth="1"/>
    <col min="6146" max="6146" width="6.28515625" style="475" customWidth="1"/>
    <col min="6147" max="6147" width="6.140625" style="475" customWidth="1"/>
    <col min="6148" max="6148" width="4" style="475" customWidth="1"/>
    <col min="6149" max="6149" width="1.5703125" style="475" customWidth="1"/>
    <col min="6150" max="6150" width="8" style="475" customWidth="1"/>
    <col min="6151" max="6151" width="7.140625" style="475" customWidth="1"/>
    <col min="6152" max="6152" width="8.42578125" style="475" customWidth="1"/>
    <col min="6153" max="6153" width="3.140625" style="475" customWidth="1"/>
    <col min="6154" max="6154" width="5.7109375" style="475" customWidth="1"/>
    <col min="6155" max="6155" width="6.5703125" style="475" customWidth="1"/>
    <col min="6156" max="6156" width="2.7109375" style="475" customWidth="1"/>
    <col min="6157" max="6157" width="3.140625" style="475" customWidth="1"/>
    <col min="6158" max="6158" width="2.7109375" style="475" customWidth="1"/>
    <col min="6159" max="6159" width="3.7109375" style="475" customWidth="1"/>
    <col min="6160" max="6160" width="6.5703125" style="475" customWidth="1"/>
    <col min="6161" max="6161" width="3.7109375" style="475" customWidth="1"/>
    <col min="6162" max="6162" width="9" style="475" customWidth="1"/>
    <col min="6163" max="6163" width="9.42578125" style="475" customWidth="1"/>
    <col min="6164" max="6164" width="11.85546875" style="475" customWidth="1"/>
    <col min="6165" max="6165" width="12.42578125" style="475" customWidth="1"/>
    <col min="6166" max="6400" width="9.140625" style="475"/>
    <col min="6401" max="6401" width="4.85546875" style="475" customWidth="1"/>
    <col min="6402" max="6402" width="6.28515625" style="475" customWidth="1"/>
    <col min="6403" max="6403" width="6.140625" style="475" customWidth="1"/>
    <col min="6404" max="6404" width="4" style="475" customWidth="1"/>
    <col min="6405" max="6405" width="1.5703125" style="475" customWidth="1"/>
    <col min="6406" max="6406" width="8" style="475" customWidth="1"/>
    <col min="6407" max="6407" width="7.140625" style="475" customWidth="1"/>
    <col min="6408" max="6408" width="8.42578125" style="475" customWidth="1"/>
    <col min="6409" max="6409" width="3.140625" style="475" customWidth="1"/>
    <col min="6410" max="6410" width="5.7109375" style="475" customWidth="1"/>
    <col min="6411" max="6411" width="6.5703125" style="475" customWidth="1"/>
    <col min="6412" max="6412" width="2.7109375" style="475" customWidth="1"/>
    <col min="6413" max="6413" width="3.140625" style="475" customWidth="1"/>
    <col min="6414" max="6414" width="2.7109375" style="475" customWidth="1"/>
    <col min="6415" max="6415" width="3.7109375" style="475" customWidth="1"/>
    <col min="6416" max="6416" width="6.5703125" style="475" customWidth="1"/>
    <col min="6417" max="6417" width="3.7109375" style="475" customWidth="1"/>
    <col min="6418" max="6418" width="9" style="475" customWidth="1"/>
    <col min="6419" max="6419" width="9.42578125" style="475" customWidth="1"/>
    <col min="6420" max="6420" width="11.85546875" style="475" customWidth="1"/>
    <col min="6421" max="6421" width="12.42578125" style="475" customWidth="1"/>
    <col min="6422" max="6656" width="9.140625" style="475"/>
    <col min="6657" max="6657" width="4.85546875" style="475" customWidth="1"/>
    <col min="6658" max="6658" width="6.28515625" style="475" customWidth="1"/>
    <col min="6659" max="6659" width="6.140625" style="475" customWidth="1"/>
    <col min="6660" max="6660" width="4" style="475" customWidth="1"/>
    <col min="6661" max="6661" width="1.5703125" style="475" customWidth="1"/>
    <col min="6662" max="6662" width="8" style="475" customWidth="1"/>
    <col min="6663" max="6663" width="7.140625" style="475" customWidth="1"/>
    <col min="6664" max="6664" width="8.42578125" style="475" customWidth="1"/>
    <col min="6665" max="6665" width="3.140625" style="475" customWidth="1"/>
    <col min="6666" max="6666" width="5.7109375" style="475" customWidth="1"/>
    <col min="6667" max="6667" width="6.5703125" style="475" customWidth="1"/>
    <col min="6668" max="6668" width="2.7109375" style="475" customWidth="1"/>
    <col min="6669" max="6669" width="3.140625" style="475" customWidth="1"/>
    <col min="6670" max="6670" width="2.7109375" style="475" customWidth="1"/>
    <col min="6671" max="6671" width="3.7109375" style="475" customWidth="1"/>
    <col min="6672" max="6672" width="6.5703125" style="475" customWidth="1"/>
    <col min="6673" max="6673" width="3.7109375" style="475" customWidth="1"/>
    <col min="6674" max="6674" width="9" style="475" customWidth="1"/>
    <col min="6675" max="6675" width="9.42578125" style="475" customWidth="1"/>
    <col min="6676" max="6676" width="11.85546875" style="475" customWidth="1"/>
    <col min="6677" max="6677" width="12.42578125" style="475" customWidth="1"/>
    <col min="6678" max="6912" width="9.140625" style="475"/>
    <col min="6913" max="6913" width="4.85546875" style="475" customWidth="1"/>
    <col min="6914" max="6914" width="6.28515625" style="475" customWidth="1"/>
    <col min="6915" max="6915" width="6.140625" style="475" customWidth="1"/>
    <col min="6916" max="6916" width="4" style="475" customWidth="1"/>
    <col min="6917" max="6917" width="1.5703125" style="475" customWidth="1"/>
    <col min="6918" max="6918" width="8" style="475" customWidth="1"/>
    <col min="6919" max="6919" width="7.140625" style="475" customWidth="1"/>
    <col min="6920" max="6920" width="8.42578125" style="475" customWidth="1"/>
    <col min="6921" max="6921" width="3.140625" style="475" customWidth="1"/>
    <col min="6922" max="6922" width="5.7109375" style="475" customWidth="1"/>
    <col min="6923" max="6923" width="6.5703125" style="475" customWidth="1"/>
    <col min="6924" max="6924" width="2.7109375" style="475" customWidth="1"/>
    <col min="6925" max="6925" width="3.140625" style="475" customWidth="1"/>
    <col min="6926" max="6926" width="2.7109375" style="475" customWidth="1"/>
    <col min="6927" max="6927" width="3.7109375" style="475" customWidth="1"/>
    <col min="6928" max="6928" width="6.5703125" style="475" customWidth="1"/>
    <col min="6929" max="6929" width="3.7109375" style="475" customWidth="1"/>
    <col min="6930" max="6930" width="9" style="475" customWidth="1"/>
    <col min="6931" max="6931" width="9.42578125" style="475" customWidth="1"/>
    <col min="6932" max="6932" width="11.85546875" style="475" customWidth="1"/>
    <col min="6933" max="6933" width="12.42578125" style="475" customWidth="1"/>
    <col min="6934" max="7168" width="9.140625" style="475"/>
    <col min="7169" max="7169" width="4.85546875" style="475" customWidth="1"/>
    <col min="7170" max="7170" width="6.28515625" style="475" customWidth="1"/>
    <col min="7171" max="7171" width="6.140625" style="475" customWidth="1"/>
    <col min="7172" max="7172" width="4" style="475" customWidth="1"/>
    <col min="7173" max="7173" width="1.5703125" style="475" customWidth="1"/>
    <col min="7174" max="7174" width="8" style="475" customWidth="1"/>
    <col min="7175" max="7175" width="7.140625" style="475" customWidth="1"/>
    <col min="7176" max="7176" width="8.42578125" style="475" customWidth="1"/>
    <col min="7177" max="7177" width="3.140625" style="475" customWidth="1"/>
    <col min="7178" max="7178" width="5.7109375" style="475" customWidth="1"/>
    <col min="7179" max="7179" width="6.5703125" style="475" customWidth="1"/>
    <col min="7180" max="7180" width="2.7109375" style="475" customWidth="1"/>
    <col min="7181" max="7181" width="3.140625" style="475" customWidth="1"/>
    <col min="7182" max="7182" width="2.7109375" style="475" customWidth="1"/>
    <col min="7183" max="7183" width="3.7109375" style="475" customWidth="1"/>
    <col min="7184" max="7184" width="6.5703125" style="475" customWidth="1"/>
    <col min="7185" max="7185" width="3.7109375" style="475" customWidth="1"/>
    <col min="7186" max="7186" width="9" style="475" customWidth="1"/>
    <col min="7187" max="7187" width="9.42578125" style="475" customWidth="1"/>
    <col min="7188" max="7188" width="11.85546875" style="475" customWidth="1"/>
    <col min="7189" max="7189" width="12.42578125" style="475" customWidth="1"/>
    <col min="7190" max="7424" width="9.140625" style="475"/>
    <col min="7425" max="7425" width="4.85546875" style="475" customWidth="1"/>
    <col min="7426" max="7426" width="6.28515625" style="475" customWidth="1"/>
    <col min="7427" max="7427" width="6.140625" style="475" customWidth="1"/>
    <col min="7428" max="7428" width="4" style="475" customWidth="1"/>
    <col min="7429" max="7429" width="1.5703125" style="475" customWidth="1"/>
    <col min="7430" max="7430" width="8" style="475" customWidth="1"/>
    <col min="7431" max="7431" width="7.140625" style="475" customWidth="1"/>
    <col min="7432" max="7432" width="8.42578125" style="475" customWidth="1"/>
    <col min="7433" max="7433" width="3.140625" style="475" customWidth="1"/>
    <col min="7434" max="7434" width="5.7109375" style="475" customWidth="1"/>
    <col min="7435" max="7435" width="6.5703125" style="475" customWidth="1"/>
    <col min="7436" max="7436" width="2.7109375" style="475" customWidth="1"/>
    <col min="7437" max="7437" width="3.140625" style="475" customWidth="1"/>
    <col min="7438" max="7438" width="2.7109375" style="475" customWidth="1"/>
    <col min="7439" max="7439" width="3.7109375" style="475" customWidth="1"/>
    <col min="7440" max="7440" width="6.5703125" style="475" customWidth="1"/>
    <col min="7441" max="7441" width="3.7109375" style="475" customWidth="1"/>
    <col min="7442" max="7442" width="9" style="475" customWidth="1"/>
    <col min="7443" max="7443" width="9.42578125" style="475" customWidth="1"/>
    <col min="7444" max="7444" width="11.85546875" style="475" customWidth="1"/>
    <col min="7445" max="7445" width="12.42578125" style="475" customWidth="1"/>
    <col min="7446" max="7680" width="9.140625" style="475"/>
    <col min="7681" max="7681" width="4.85546875" style="475" customWidth="1"/>
    <col min="7682" max="7682" width="6.28515625" style="475" customWidth="1"/>
    <col min="7683" max="7683" width="6.140625" style="475" customWidth="1"/>
    <col min="7684" max="7684" width="4" style="475" customWidth="1"/>
    <col min="7685" max="7685" width="1.5703125" style="475" customWidth="1"/>
    <col min="7686" max="7686" width="8" style="475" customWidth="1"/>
    <col min="7687" max="7687" width="7.140625" style="475" customWidth="1"/>
    <col min="7688" max="7688" width="8.42578125" style="475" customWidth="1"/>
    <col min="7689" max="7689" width="3.140625" style="475" customWidth="1"/>
    <col min="7690" max="7690" width="5.7109375" style="475" customWidth="1"/>
    <col min="7691" max="7691" width="6.5703125" style="475" customWidth="1"/>
    <col min="7692" max="7692" width="2.7109375" style="475" customWidth="1"/>
    <col min="7693" max="7693" width="3.140625" style="475" customWidth="1"/>
    <col min="7694" max="7694" width="2.7109375" style="475" customWidth="1"/>
    <col min="7695" max="7695" width="3.7109375" style="475" customWidth="1"/>
    <col min="7696" max="7696" width="6.5703125" style="475" customWidth="1"/>
    <col min="7697" max="7697" width="3.7109375" style="475" customWidth="1"/>
    <col min="7698" max="7698" width="9" style="475" customWidth="1"/>
    <col min="7699" max="7699" width="9.42578125" style="475" customWidth="1"/>
    <col min="7700" max="7700" width="11.85546875" style="475" customWidth="1"/>
    <col min="7701" max="7701" width="12.42578125" style="475" customWidth="1"/>
    <col min="7702" max="7936" width="9.140625" style="475"/>
    <col min="7937" max="7937" width="4.85546875" style="475" customWidth="1"/>
    <col min="7938" max="7938" width="6.28515625" style="475" customWidth="1"/>
    <col min="7939" max="7939" width="6.140625" style="475" customWidth="1"/>
    <col min="7940" max="7940" width="4" style="475" customWidth="1"/>
    <col min="7941" max="7941" width="1.5703125" style="475" customWidth="1"/>
    <col min="7942" max="7942" width="8" style="475" customWidth="1"/>
    <col min="7943" max="7943" width="7.140625" style="475" customWidth="1"/>
    <col min="7944" max="7944" width="8.42578125" style="475" customWidth="1"/>
    <col min="7945" max="7945" width="3.140625" style="475" customWidth="1"/>
    <col min="7946" max="7946" width="5.7109375" style="475" customWidth="1"/>
    <col min="7947" max="7947" width="6.5703125" style="475" customWidth="1"/>
    <col min="7948" max="7948" width="2.7109375" style="475" customWidth="1"/>
    <col min="7949" max="7949" width="3.140625" style="475" customWidth="1"/>
    <col min="7950" max="7950" width="2.7109375" style="475" customWidth="1"/>
    <col min="7951" max="7951" width="3.7109375" style="475" customWidth="1"/>
    <col min="7952" max="7952" width="6.5703125" style="475" customWidth="1"/>
    <col min="7953" max="7953" width="3.7109375" style="475" customWidth="1"/>
    <col min="7954" max="7954" width="9" style="475" customWidth="1"/>
    <col min="7955" max="7955" width="9.42578125" style="475" customWidth="1"/>
    <col min="7956" max="7956" width="11.85546875" style="475" customWidth="1"/>
    <col min="7957" max="7957" width="12.42578125" style="475" customWidth="1"/>
    <col min="7958" max="8192" width="9.140625" style="475"/>
    <col min="8193" max="8193" width="4.85546875" style="475" customWidth="1"/>
    <col min="8194" max="8194" width="6.28515625" style="475" customWidth="1"/>
    <col min="8195" max="8195" width="6.140625" style="475" customWidth="1"/>
    <col min="8196" max="8196" width="4" style="475" customWidth="1"/>
    <col min="8197" max="8197" width="1.5703125" style="475" customWidth="1"/>
    <col min="8198" max="8198" width="8" style="475" customWidth="1"/>
    <col min="8199" max="8199" width="7.140625" style="475" customWidth="1"/>
    <col min="8200" max="8200" width="8.42578125" style="475" customWidth="1"/>
    <col min="8201" max="8201" width="3.140625" style="475" customWidth="1"/>
    <col min="8202" max="8202" width="5.7109375" style="475" customWidth="1"/>
    <col min="8203" max="8203" width="6.5703125" style="475" customWidth="1"/>
    <col min="8204" max="8204" width="2.7109375" style="475" customWidth="1"/>
    <col min="8205" max="8205" width="3.140625" style="475" customWidth="1"/>
    <col min="8206" max="8206" width="2.7109375" style="475" customWidth="1"/>
    <col min="8207" max="8207" width="3.7109375" style="475" customWidth="1"/>
    <col min="8208" max="8208" width="6.5703125" style="475" customWidth="1"/>
    <col min="8209" max="8209" width="3.7109375" style="475" customWidth="1"/>
    <col min="8210" max="8210" width="9" style="475" customWidth="1"/>
    <col min="8211" max="8211" width="9.42578125" style="475" customWidth="1"/>
    <col min="8212" max="8212" width="11.85546875" style="475" customWidth="1"/>
    <col min="8213" max="8213" width="12.42578125" style="475" customWidth="1"/>
    <col min="8214" max="8448" width="9.140625" style="475"/>
    <col min="8449" max="8449" width="4.85546875" style="475" customWidth="1"/>
    <col min="8450" max="8450" width="6.28515625" style="475" customWidth="1"/>
    <col min="8451" max="8451" width="6.140625" style="475" customWidth="1"/>
    <col min="8452" max="8452" width="4" style="475" customWidth="1"/>
    <col min="8453" max="8453" width="1.5703125" style="475" customWidth="1"/>
    <col min="8454" max="8454" width="8" style="475" customWidth="1"/>
    <col min="8455" max="8455" width="7.140625" style="475" customWidth="1"/>
    <col min="8456" max="8456" width="8.42578125" style="475" customWidth="1"/>
    <col min="8457" max="8457" width="3.140625" style="475" customWidth="1"/>
    <col min="8458" max="8458" width="5.7109375" style="475" customWidth="1"/>
    <col min="8459" max="8459" width="6.5703125" style="475" customWidth="1"/>
    <col min="8460" max="8460" width="2.7109375" style="475" customWidth="1"/>
    <col min="8461" max="8461" width="3.140625" style="475" customWidth="1"/>
    <col min="8462" max="8462" width="2.7109375" style="475" customWidth="1"/>
    <col min="8463" max="8463" width="3.7109375" style="475" customWidth="1"/>
    <col min="8464" max="8464" width="6.5703125" style="475" customWidth="1"/>
    <col min="8465" max="8465" width="3.7109375" style="475" customWidth="1"/>
    <col min="8466" max="8466" width="9" style="475" customWidth="1"/>
    <col min="8467" max="8467" width="9.42578125" style="475" customWidth="1"/>
    <col min="8468" max="8468" width="11.85546875" style="475" customWidth="1"/>
    <col min="8469" max="8469" width="12.42578125" style="475" customWidth="1"/>
    <col min="8470" max="8704" width="9.140625" style="475"/>
    <col min="8705" max="8705" width="4.85546875" style="475" customWidth="1"/>
    <col min="8706" max="8706" width="6.28515625" style="475" customWidth="1"/>
    <col min="8707" max="8707" width="6.140625" style="475" customWidth="1"/>
    <col min="8708" max="8708" width="4" style="475" customWidth="1"/>
    <col min="8709" max="8709" width="1.5703125" style="475" customWidth="1"/>
    <col min="8710" max="8710" width="8" style="475" customWidth="1"/>
    <col min="8711" max="8711" width="7.140625" style="475" customWidth="1"/>
    <col min="8712" max="8712" width="8.42578125" style="475" customWidth="1"/>
    <col min="8713" max="8713" width="3.140625" style="475" customWidth="1"/>
    <col min="8714" max="8714" width="5.7109375" style="475" customWidth="1"/>
    <col min="8715" max="8715" width="6.5703125" style="475" customWidth="1"/>
    <col min="8716" max="8716" width="2.7109375" style="475" customWidth="1"/>
    <col min="8717" max="8717" width="3.140625" style="475" customWidth="1"/>
    <col min="8718" max="8718" width="2.7109375" style="475" customWidth="1"/>
    <col min="8719" max="8719" width="3.7109375" style="475" customWidth="1"/>
    <col min="8720" max="8720" width="6.5703125" style="475" customWidth="1"/>
    <col min="8721" max="8721" width="3.7109375" style="475" customWidth="1"/>
    <col min="8722" max="8722" width="9" style="475" customWidth="1"/>
    <col min="8723" max="8723" width="9.42578125" style="475" customWidth="1"/>
    <col min="8724" max="8724" width="11.85546875" style="475" customWidth="1"/>
    <col min="8725" max="8725" width="12.42578125" style="475" customWidth="1"/>
    <col min="8726" max="8960" width="9.140625" style="475"/>
    <col min="8961" max="8961" width="4.85546875" style="475" customWidth="1"/>
    <col min="8962" max="8962" width="6.28515625" style="475" customWidth="1"/>
    <col min="8963" max="8963" width="6.140625" style="475" customWidth="1"/>
    <col min="8964" max="8964" width="4" style="475" customWidth="1"/>
    <col min="8965" max="8965" width="1.5703125" style="475" customWidth="1"/>
    <col min="8966" max="8966" width="8" style="475" customWidth="1"/>
    <col min="8967" max="8967" width="7.140625" style="475" customWidth="1"/>
    <col min="8968" max="8968" width="8.42578125" style="475" customWidth="1"/>
    <col min="8969" max="8969" width="3.140625" style="475" customWidth="1"/>
    <col min="8970" max="8970" width="5.7109375" style="475" customWidth="1"/>
    <col min="8971" max="8971" width="6.5703125" style="475" customWidth="1"/>
    <col min="8972" max="8972" width="2.7109375" style="475" customWidth="1"/>
    <col min="8973" max="8973" width="3.140625" style="475" customWidth="1"/>
    <col min="8974" max="8974" width="2.7109375" style="475" customWidth="1"/>
    <col min="8975" max="8975" width="3.7109375" style="475" customWidth="1"/>
    <col min="8976" max="8976" width="6.5703125" style="475" customWidth="1"/>
    <col min="8977" max="8977" width="3.7109375" style="475" customWidth="1"/>
    <col min="8978" max="8978" width="9" style="475" customWidth="1"/>
    <col min="8979" max="8979" width="9.42578125" style="475" customWidth="1"/>
    <col min="8980" max="8980" width="11.85546875" style="475" customWidth="1"/>
    <col min="8981" max="8981" width="12.42578125" style="475" customWidth="1"/>
    <col min="8982" max="9216" width="9.140625" style="475"/>
    <col min="9217" max="9217" width="4.85546875" style="475" customWidth="1"/>
    <col min="9218" max="9218" width="6.28515625" style="475" customWidth="1"/>
    <col min="9219" max="9219" width="6.140625" style="475" customWidth="1"/>
    <col min="9220" max="9220" width="4" style="475" customWidth="1"/>
    <col min="9221" max="9221" width="1.5703125" style="475" customWidth="1"/>
    <col min="9222" max="9222" width="8" style="475" customWidth="1"/>
    <col min="9223" max="9223" width="7.140625" style="475" customWidth="1"/>
    <col min="9224" max="9224" width="8.42578125" style="475" customWidth="1"/>
    <col min="9225" max="9225" width="3.140625" style="475" customWidth="1"/>
    <col min="9226" max="9226" width="5.7109375" style="475" customWidth="1"/>
    <col min="9227" max="9227" width="6.5703125" style="475" customWidth="1"/>
    <col min="9228" max="9228" width="2.7109375" style="475" customWidth="1"/>
    <col min="9229" max="9229" width="3.140625" style="475" customWidth="1"/>
    <col min="9230" max="9230" width="2.7109375" style="475" customWidth="1"/>
    <col min="9231" max="9231" width="3.7109375" style="475" customWidth="1"/>
    <col min="9232" max="9232" width="6.5703125" style="475" customWidth="1"/>
    <col min="9233" max="9233" width="3.7109375" style="475" customWidth="1"/>
    <col min="9234" max="9234" width="9" style="475" customWidth="1"/>
    <col min="9235" max="9235" width="9.42578125" style="475" customWidth="1"/>
    <col min="9236" max="9236" width="11.85546875" style="475" customWidth="1"/>
    <col min="9237" max="9237" width="12.42578125" style="475" customWidth="1"/>
    <col min="9238" max="9472" width="9.140625" style="475"/>
    <col min="9473" max="9473" width="4.85546875" style="475" customWidth="1"/>
    <col min="9474" max="9474" width="6.28515625" style="475" customWidth="1"/>
    <col min="9475" max="9475" width="6.140625" style="475" customWidth="1"/>
    <col min="9476" max="9476" width="4" style="475" customWidth="1"/>
    <col min="9477" max="9477" width="1.5703125" style="475" customWidth="1"/>
    <col min="9478" max="9478" width="8" style="475" customWidth="1"/>
    <col min="9479" max="9479" width="7.140625" style="475" customWidth="1"/>
    <col min="9480" max="9480" width="8.42578125" style="475" customWidth="1"/>
    <col min="9481" max="9481" width="3.140625" style="475" customWidth="1"/>
    <col min="9482" max="9482" width="5.7109375" style="475" customWidth="1"/>
    <col min="9483" max="9483" width="6.5703125" style="475" customWidth="1"/>
    <col min="9484" max="9484" width="2.7109375" style="475" customWidth="1"/>
    <col min="9485" max="9485" width="3.140625" style="475" customWidth="1"/>
    <col min="9486" max="9486" width="2.7109375" style="475" customWidth="1"/>
    <col min="9487" max="9487" width="3.7109375" style="475" customWidth="1"/>
    <col min="9488" max="9488" width="6.5703125" style="475" customWidth="1"/>
    <col min="9489" max="9489" width="3.7109375" style="475" customWidth="1"/>
    <col min="9490" max="9490" width="9" style="475" customWidth="1"/>
    <col min="9491" max="9491" width="9.42578125" style="475" customWidth="1"/>
    <col min="9492" max="9492" width="11.85546875" style="475" customWidth="1"/>
    <col min="9493" max="9493" width="12.42578125" style="475" customWidth="1"/>
    <col min="9494" max="9728" width="9.140625" style="475"/>
    <col min="9729" max="9729" width="4.85546875" style="475" customWidth="1"/>
    <col min="9730" max="9730" width="6.28515625" style="475" customWidth="1"/>
    <col min="9731" max="9731" width="6.140625" style="475" customWidth="1"/>
    <col min="9732" max="9732" width="4" style="475" customWidth="1"/>
    <col min="9733" max="9733" width="1.5703125" style="475" customWidth="1"/>
    <col min="9734" max="9734" width="8" style="475" customWidth="1"/>
    <col min="9735" max="9735" width="7.140625" style="475" customWidth="1"/>
    <col min="9736" max="9736" width="8.42578125" style="475" customWidth="1"/>
    <col min="9737" max="9737" width="3.140625" style="475" customWidth="1"/>
    <col min="9738" max="9738" width="5.7109375" style="475" customWidth="1"/>
    <col min="9739" max="9739" width="6.5703125" style="475" customWidth="1"/>
    <col min="9740" max="9740" width="2.7109375" style="475" customWidth="1"/>
    <col min="9741" max="9741" width="3.140625" style="475" customWidth="1"/>
    <col min="9742" max="9742" width="2.7109375" style="475" customWidth="1"/>
    <col min="9743" max="9743" width="3.7109375" style="475" customWidth="1"/>
    <col min="9744" max="9744" width="6.5703125" style="475" customWidth="1"/>
    <col min="9745" max="9745" width="3.7109375" style="475" customWidth="1"/>
    <col min="9746" max="9746" width="9" style="475" customWidth="1"/>
    <col min="9747" max="9747" width="9.42578125" style="475" customWidth="1"/>
    <col min="9748" max="9748" width="11.85546875" style="475" customWidth="1"/>
    <col min="9749" max="9749" width="12.42578125" style="475" customWidth="1"/>
    <col min="9750" max="9984" width="9.140625" style="475"/>
    <col min="9985" max="9985" width="4.85546875" style="475" customWidth="1"/>
    <col min="9986" max="9986" width="6.28515625" style="475" customWidth="1"/>
    <col min="9987" max="9987" width="6.140625" style="475" customWidth="1"/>
    <col min="9988" max="9988" width="4" style="475" customWidth="1"/>
    <col min="9989" max="9989" width="1.5703125" style="475" customWidth="1"/>
    <col min="9990" max="9990" width="8" style="475" customWidth="1"/>
    <col min="9991" max="9991" width="7.140625" style="475" customWidth="1"/>
    <col min="9992" max="9992" width="8.42578125" style="475" customWidth="1"/>
    <col min="9993" max="9993" width="3.140625" style="475" customWidth="1"/>
    <col min="9994" max="9994" width="5.7109375" style="475" customWidth="1"/>
    <col min="9995" max="9995" width="6.5703125" style="475" customWidth="1"/>
    <col min="9996" max="9996" width="2.7109375" style="475" customWidth="1"/>
    <col min="9997" max="9997" width="3.140625" style="475" customWidth="1"/>
    <col min="9998" max="9998" width="2.7109375" style="475" customWidth="1"/>
    <col min="9999" max="9999" width="3.7109375" style="475" customWidth="1"/>
    <col min="10000" max="10000" width="6.5703125" style="475" customWidth="1"/>
    <col min="10001" max="10001" width="3.7109375" style="475" customWidth="1"/>
    <col min="10002" max="10002" width="9" style="475" customWidth="1"/>
    <col min="10003" max="10003" width="9.42578125" style="475" customWidth="1"/>
    <col min="10004" max="10004" width="11.85546875" style="475" customWidth="1"/>
    <col min="10005" max="10005" width="12.42578125" style="475" customWidth="1"/>
    <col min="10006" max="10240" width="9.140625" style="475"/>
    <col min="10241" max="10241" width="4.85546875" style="475" customWidth="1"/>
    <col min="10242" max="10242" width="6.28515625" style="475" customWidth="1"/>
    <col min="10243" max="10243" width="6.140625" style="475" customWidth="1"/>
    <col min="10244" max="10244" width="4" style="475" customWidth="1"/>
    <col min="10245" max="10245" width="1.5703125" style="475" customWidth="1"/>
    <col min="10246" max="10246" width="8" style="475" customWidth="1"/>
    <col min="10247" max="10247" width="7.140625" style="475" customWidth="1"/>
    <col min="10248" max="10248" width="8.42578125" style="475" customWidth="1"/>
    <col min="10249" max="10249" width="3.140625" style="475" customWidth="1"/>
    <col min="10250" max="10250" width="5.7109375" style="475" customWidth="1"/>
    <col min="10251" max="10251" width="6.5703125" style="475" customWidth="1"/>
    <col min="10252" max="10252" width="2.7109375" style="475" customWidth="1"/>
    <col min="10253" max="10253" width="3.140625" style="475" customWidth="1"/>
    <col min="10254" max="10254" width="2.7109375" style="475" customWidth="1"/>
    <col min="10255" max="10255" width="3.7109375" style="475" customWidth="1"/>
    <col min="10256" max="10256" width="6.5703125" style="475" customWidth="1"/>
    <col min="10257" max="10257" width="3.7109375" style="475" customWidth="1"/>
    <col min="10258" max="10258" width="9" style="475" customWidth="1"/>
    <col min="10259" max="10259" width="9.42578125" style="475" customWidth="1"/>
    <col min="10260" max="10260" width="11.85546875" style="475" customWidth="1"/>
    <col min="10261" max="10261" width="12.42578125" style="475" customWidth="1"/>
    <col min="10262" max="10496" width="9.140625" style="475"/>
    <col min="10497" max="10497" width="4.85546875" style="475" customWidth="1"/>
    <col min="10498" max="10498" width="6.28515625" style="475" customWidth="1"/>
    <col min="10499" max="10499" width="6.140625" style="475" customWidth="1"/>
    <col min="10500" max="10500" width="4" style="475" customWidth="1"/>
    <col min="10501" max="10501" width="1.5703125" style="475" customWidth="1"/>
    <col min="10502" max="10502" width="8" style="475" customWidth="1"/>
    <col min="10503" max="10503" width="7.140625" style="475" customWidth="1"/>
    <col min="10504" max="10504" width="8.42578125" style="475" customWidth="1"/>
    <col min="10505" max="10505" width="3.140625" style="475" customWidth="1"/>
    <col min="10506" max="10506" width="5.7109375" style="475" customWidth="1"/>
    <col min="10507" max="10507" width="6.5703125" style="475" customWidth="1"/>
    <col min="10508" max="10508" width="2.7109375" style="475" customWidth="1"/>
    <col min="10509" max="10509" width="3.140625" style="475" customWidth="1"/>
    <col min="10510" max="10510" width="2.7109375" style="475" customWidth="1"/>
    <col min="10511" max="10511" width="3.7109375" style="475" customWidth="1"/>
    <col min="10512" max="10512" width="6.5703125" style="475" customWidth="1"/>
    <col min="10513" max="10513" width="3.7109375" style="475" customWidth="1"/>
    <col min="10514" max="10514" width="9" style="475" customWidth="1"/>
    <col min="10515" max="10515" width="9.42578125" style="475" customWidth="1"/>
    <col min="10516" max="10516" width="11.85546875" style="475" customWidth="1"/>
    <col min="10517" max="10517" width="12.42578125" style="475" customWidth="1"/>
    <col min="10518" max="10752" width="9.140625" style="475"/>
    <col min="10753" max="10753" width="4.85546875" style="475" customWidth="1"/>
    <col min="10754" max="10754" width="6.28515625" style="475" customWidth="1"/>
    <col min="10755" max="10755" width="6.140625" style="475" customWidth="1"/>
    <col min="10756" max="10756" width="4" style="475" customWidth="1"/>
    <col min="10757" max="10757" width="1.5703125" style="475" customWidth="1"/>
    <col min="10758" max="10758" width="8" style="475" customWidth="1"/>
    <col min="10759" max="10759" width="7.140625" style="475" customWidth="1"/>
    <col min="10760" max="10760" width="8.42578125" style="475" customWidth="1"/>
    <col min="10761" max="10761" width="3.140625" style="475" customWidth="1"/>
    <col min="10762" max="10762" width="5.7109375" style="475" customWidth="1"/>
    <col min="10763" max="10763" width="6.5703125" style="475" customWidth="1"/>
    <col min="10764" max="10764" width="2.7109375" style="475" customWidth="1"/>
    <col min="10765" max="10765" width="3.140625" style="475" customWidth="1"/>
    <col min="10766" max="10766" width="2.7109375" style="475" customWidth="1"/>
    <col min="10767" max="10767" width="3.7109375" style="475" customWidth="1"/>
    <col min="10768" max="10768" width="6.5703125" style="475" customWidth="1"/>
    <col min="10769" max="10769" width="3.7109375" style="475" customWidth="1"/>
    <col min="10770" max="10770" width="9" style="475" customWidth="1"/>
    <col min="10771" max="10771" width="9.42578125" style="475" customWidth="1"/>
    <col min="10772" max="10772" width="11.85546875" style="475" customWidth="1"/>
    <col min="10773" max="10773" width="12.42578125" style="475" customWidth="1"/>
    <col min="10774" max="11008" width="9.140625" style="475"/>
    <col min="11009" max="11009" width="4.85546875" style="475" customWidth="1"/>
    <col min="11010" max="11010" width="6.28515625" style="475" customWidth="1"/>
    <col min="11011" max="11011" width="6.140625" style="475" customWidth="1"/>
    <col min="11012" max="11012" width="4" style="475" customWidth="1"/>
    <col min="11013" max="11013" width="1.5703125" style="475" customWidth="1"/>
    <col min="11014" max="11014" width="8" style="475" customWidth="1"/>
    <col min="11015" max="11015" width="7.140625" style="475" customWidth="1"/>
    <col min="11016" max="11016" width="8.42578125" style="475" customWidth="1"/>
    <col min="11017" max="11017" width="3.140625" style="475" customWidth="1"/>
    <col min="11018" max="11018" width="5.7109375" style="475" customWidth="1"/>
    <col min="11019" max="11019" width="6.5703125" style="475" customWidth="1"/>
    <col min="11020" max="11020" width="2.7109375" style="475" customWidth="1"/>
    <col min="11021" max="11021" width="3.140625" style="475" customWidth="1"/>
    <col min="11022" max="11022" width="2.7109375" style="475" customWidth="1"/>
    <col min="11023" max="11023" width="3.7109375" style="475" customWidth="1"/>
    <col min="11024" max="11024" width="6.5703125" style="475" customWidth="1"/>
    <col min="11025" max="11025" width="3.7109375" style="475" customWidth="1"/>
    <col min="11026" max="11026" width="9" style="475" customWidth="1"/>
    <col min="11027" max="11027" width="9.42578125" style="475" customWidth="1"/>
    <col min="11028" max="11028" width="11.85546875" style="475" customWidth="1"/>
    <col min="11029" max="11029" width="12.42578125" style="475" customWidth="1"/>
    <col min="11030" max="11264" width="9.140625" style="475"/>
    <col min="11265" max="11265" width="4.85546875" style="475" customWidth="1"/>
    <col min="11266" max="11266" width="6.28515625" style="475" customWidth="1"/>
    <col min="11267" max="11267" width="6.140625" style="475" customWidth="1"/>
    <col min="11268" max="11268" width="4" style="475" customWidth="1"/>
    <col min="11269" max="11269" width="1.5703125" style="475" customWidth="1"/>
    <col min="11270" max="11270" width="8" style="475" customWidth="1"/>
    <col min="11271" max="11271" width="7.140625" style="475" customWidth="1"/>
    <col min="11272" max="11272" width="8.42578125" style="475" customWidth="1"/>
    <col min="11273" max="11273" width="3.140625" style="475" customWidth="1"/>
    <col min="11274" max="11274" width="5.7109375" style="475" customWidth="1"/>
    <col min="11275" max="11275" width="6.5703125" style="475" customWidth="1"/>
    <col min="11276" max="11276" width="2.7109375" style="475" customWidth="1"/>
    <col min="11277" max="11277" width="3.140625" style="475" customWidth="1"/>
    <col min="11278" max="11278" width="2.7109375" style="475" customWidth="1"/>
    <col min="11279" max="11279" width="3.7109375" style="475" customWidth="1"/>
    <col min="11280" max="11280" width="6.5703125" style="475" customWidth="1"/>
    <col min="11281" max="11281" width="3.7109375" style="475" customWidth="1"/>
    <col min="11282" max="11282" width="9" style="475" customWidth="1"/>
    <col min="11283" max="11283" width="9.42578125" style="475" customWidth="1"/>
    <col min="11284" max="11284" width="11.85546875" style="475" customWidth="1"/>
    <col min="11285" max="11285" width="12.42578125" style="475" customWidth="1"/>
    <col min="11286" max="11520" width="9.140625" style="475"/>
    <col min="11521" max="11521" width="4.85546875" style="475" customWidth="1"/>
    <col min="11522" max="11522" width="6.28515625" style="475" customWidth="1"/>
    <col min="11523" max="11523" width="6.140625" style="475" customWidth="1"/>
    <col min="11524" max="11524" width="4" style="475" customWidth="1"/>
    <col min="11525" max="11525" width="1.5703125" style="475" customWidth="1"/>
    <col min="11526" max="11526" width="8" style="475" customWidth="1"/>
    <col min="11527" max="11527" width="7.140625" style="475" customWidth="1"/>
    <col min="11528" max="11528" width="8.42578125" style="475" customWidth="1"/>
    <col min="11529" max="11529" width="3.140625" style="475" customWidth="1"/>
    <col min="11530" max="11530" width="5.7109375" style="475" customWidth="1"/>
    <col min="11531" max="11531" width="6.5703125" style="475" customWidth="1"/>
    <col min="11532" max="11532" width="2.7109375" style="475" customWidth="1"/>
    <col min="11533" max="11533" width="3.140625" style="475" customWidth="1"/>
    <col min="11534" max="11534" width="2.7109375" style="475" customWidth="1"/>
    <col min="11535" max="11535" width="3.7109375" style="475" customWidth="1"/>
    <col min="11536" max="11536" width="6.5703125" style="475" customWidth="1"/>
    <col min="11537" max="11537" width="3.7109375" style="475" customWidth="1"/>
    <col min="11538" max="11538" width="9" style="475" customWidth="1"/>
    <col min="11539" max="11539" width="9.42578125" style="475" customWidth="1"/>
    <col min="11540" max="11540" width="11.85546875" style="475" customWidth="1"/>
    <col min="11541" max="11541" width="12.42578125" style="475" customWidth="1"/>
    <col min="11542" max="11776" width="9.140625" style="475"/>
    <col min="11777" max="11777" width="4.85546875" style="475" customWidth="1"/>
    <col min="11778" max="11778" width="6.28515625" style="475" customWidth="1"/>
    <col min="11779" max="11779" width="6.140625" style="475" customWidth="1"/>
    <col min="11780" max="11780" width="4" style="475" customWidth="1"/>
    <col min="11781" max="11781" width="1.5703125" style="475" customWidth="1"/>
    <col min="11782" max="11782" width="8" style="475" customWidth="1"/>
    <col min="11783" max="11783" width="7.140625" style="475" customWidth="1"/>
    <col min="11784" max="11784" width="8.42578125" style="475" customWidth="1"/>
    <col min="11785" max="11785" width="3.140625" style="475" customWidth="1"/>
    <col min="11786" max="11786" width="5.7109375" style="475" customWidth="1"/>
    <col min="11787" max="11787" width="6.5703125" style="475" customWidth="1"/>
    <col min="11788" max="11788" width="2.7109375" style="475" customWidth="1"/>
    <col min="11789" max="11789" width="3.140625" style="475" customWidth="1"/>
    <col min="11790" max="11790" width="2.7109375" style="475" customWidth="1"/>
    <col min="11791" max="11791" width="3.7109375" style="475" customWidth="1"/>
    <col min="11792" max="11792" width="6.5703125" style="475" customWidth="1"/>
    <col min="11793" max="11793" width="3.7109375" style="475" customWidth="1"/>
    <col min="11794" max="11794" width="9" style="475" customWidth="1"/>
    <col min="11795" max="11795" width="9.42578125" style="475" customWidth="1"/>
    <col min="11796" max="11796" width="11.85546875" style="475" customWidth="1"/>
    <col min="11797" max="11797" width="12.42578125" style="475" customWidth="1"/>
    <col min="11798" max="12032" width="9.140625" style="475"/>
    <col min="12033" max="12033" width="4.85546875" style="475" customWidth="1"/>
    <col min="12034" max="12034" width="6.28515625" style="475" customWidth="1"/>
    <col min="12035" max="12035" width="6.140625" style="475" customWidth="1"/>
    <col min="12036" max="12036" width="4" style="475" customWidth="1"/>
    <col min="12037" max="12037" width="1.5703125" style="475" customWidth="1"/>
    <col min="12038" max="12038" width="8" style="475" customWidth="1"/>
    <col min="12039" max="12039" width="7.140625" style="475" customWidth="1"/>
    <col min="12040" max="12040" width="8.42578125" style="475" customWidth="1"/>
    <col min="12041" max="12041" width="3.140625" style="475" customWidth="1"/>
    <col min="12042" max="12042" width="5.7109375" style="475" customWidth="1"/>
    <col min="12043" max="12043" width="6.5703125" style="475" customWidth="1"/>
    <col min="12044" max="12044" width="2.7109375" style="475" customWidth="1"/>
    <col min="12045" max="12045" width="3.140625" style="475" customWidth="1"/>
    <col min="12046" max="12046" width="2.7109375" style="475" customWidth="1"/>
    <col min="12047" max="12047" width="3.7109375" style="475" customWidth="1"/>
    <col min="12048" max="12048" width="6.5703125" style="475" customWidth="1"/>
    <col min="12049" max="12049" width="3.7109375" style="475" customWidth="1"/>
    <col min="12050" max="12050" width="9" style="475" customWidth="1"/>
    <col min="12051" max="12051" width="9.42578125" style="475" customWidth="1"/>
    <col min="12052" max="12052" width="11.85546875" style="475" customWidth="1"/>
    <col min="12053" max="12053" width="12.42578125" style="475" customWidth="1"/>
    <col min="12054" max="12288" width="9.140625" style="475"/>
    <col min="12289" max="12289" width="4.85546875" style="475" customWidth="1"/>
    <col min="12290" max="12290" width="6.28515625" style="475" customWidth="1"/>
    <col min="12291" max="12291" width="6.140625" style="475" customWidth="1"/>
    <col min="12292" max="12292" width="4" style="475" customWidth="1"/>
    <col min="12293" max="12293" width="1.5703125" style="475" customWidth="1"/>
    <col min="12294" max="12294" width="8" style="475" customWidth="1"/>
    <col min="12295" max="12295" width="7.140625" style="475" customWidth="1"/>
    <col min="12296" max="12296" width="8.42578125" style="475" customWidth="1"/>
    <col min="12297" max="12297" width="3.140625" style="475" customWidth="1"/>
    <col min="12298" max="12298" width="5.7109375" style="475" customWidth="1"/>
    <col min="12299" max="12299" width="6.5703125" style="475" customWidth="1"/>
    <col min="12300" max="12300" width="2.7109375" style="475" customWidth="1"/>
    <col min="12301" max="12301" width="3.140625" style="475" customWidth="1"/>
    <col min="12302" max="12302" width="2.7109375" style="475" customWidth="1"/>
    <col min="12303" max="12303" width="3.7109375" style="475" customWidth="1"/>
    <col min="12304" max="12304" width="6.5703125" style="475" customWidth="1"/>
    <col min="12305" max="12305" width="3.7109375" style="475" customWidth="1"/>
    <col min="12306" max="12306" width="9" style="475" customWidth="1"/>
    <col min="12307" max="12307" width="9.42578125" style="475" customWidth="1"/>
    <col min="12308" max="12308" width="11.85546875" style="475" customWidth="1"/>
    <col min="12309" max="12309" width="12.42578125" style="475" customWidth="1"/>
    <col min="12310" max="12544" width="9.140625" style="475"/>
    <col min="12545" max="12545" width="4.85546875" style="475" customWidth="1"/>
    <col min="12546" max="12546" width="6.28515625" style="475" customWidth="1"/>
    <col min="12547" max="12547" width="6.140625" style="475" customWidth="1"/>
    <col min="12548" max="12548" width="4" style="475" customWidth="1"/>
    <col min="12549" max="12549" width="1.5703125" style="475" customWidth="1"/>
    <col min="12550" max="12550" width="8" style="475" customWidth="1"/>
    <col min="12551" max="12551" width="7.140625" style="475" customWidth="1"/>
    <col min="12552" max="12552" width="8.42578125" style="475" customWidth="1"/>
    <col min="12553" max="12553" width="3.140625" style="475" customWidth="1"/>
    <col min="12554" max="12554" width="5.7109375" style="475" customWidth="1"/>
    <col min="12555" max="12555" width="6.5703125" style="475" customWidth="1"/>
    <col min="12556" max="12556" width="2.7109375" style="475" customWidth="1"/>
    <col min="12557" max="12557" width="3.140625" style="475" customWidth="1"/>
    <col min="12558" max="12558" width="2.7109375" style="475" customWidth="1"/>
    <col min="12559" max="12559" width="3.7109375" style="475" customWidth="1"/>
    <col min="12560" max="12560" width="6.5703125" style="475" customWidth="1"/>
    <col min="12561" max="12561" width="3.7109375" style="475" customWidth="1"/>
    <col min="12562" max="12562" width="9" style="475" customWidth="1"/>
    <col min="12563" max="12563" width="9.42578125" style="475" customWidth="1"/>
    <col min="12564" max="12564" width="11.85546875" style="475" customWidth="1"/>
    <col min="12565" max="12565" width="12.42578125" style="475" customWidth="1"/>
    <col min="12566" max="12800" width="9.140625" style="475"/>
    <col min="12801" max="12801" width="4.85546875" style="475" customWidth="1"/>
    <col min="12802" max="12802" width="6.28515625" style="475" customWidth="1"/>
    <col min="12803" max="12803" width="6.140625" style="475" customWidth="1"/>
    <col min="12804" max="12804" width="4" style="475" customWidth="1"/>
    <col min="12805" max="12805" width="1.5703125" style="475" customWidth="1"/>
    <col min="12806" max="12806" width="8" style="475" customWidth="1"/>
    <col min="12807" max="12807" width="7.140625" style="475" customWidth="1"/>
    <col min="12808" max="12808" width="8.42578125" style="475" customWidth="1"/>
    <col min="12809" max="12809" width="3.140625" style="475" customWidth="1"/>
    <col min="12810" max="12810" width="5.7109375" style="475" customWidth="1"/>
    <col min="12811" max="12811" width="6.5703125" style="475" customWidth="1"/>
    <col min="12812" max="12812" width="2.7109375" style="475" customWidth="1"/>
    <col min="12813" max="12813" width="3.140625" style="475" customWidth="1"/>
    <col min="12814" max="12814" width="2.7109375" style="475" customWidth="1"/>
    <col min="12815" max="12815" width="3.7109375" style="475" customWidth="1"/>
    <col min="12816" max="12816" width="6.5703125" style="475" customWidth="1"/>
    <col min="12817" max="12817" width="3.7109375" style="475" customWidth="1"/>
    <col min="12818" max="12818" width="9" style="475" customWidth="1"/>
    <col min="12819" max="12819" width="9.42578125" style="475" customWidth="1"/>
    <col min="12820" max="12820" width="11.85546875" style="475" customWidth="1"/>
    <col min="12821" max="12821" width="12.42578125" style="475" customWidth="1"/>
    <col min="12822" max="13056" width="9.140625" style="475"/>
    <col min="13057" max="13057" width="4.85546875" style="475" customWidth="1"/>
    <col min="13058" max="13058" width="6.28515625" style="475" customWidth="1"/>
    <col min="13059" max="13059" width="6.140625" style="475" customWidth="1"/>
    <col min="13060" max="13060" width="4" style="475" customWidth="1"/>
    <col min="13061" max="13061" width="1.5703125" style="475" customWidth="1"/>
    <col min="13062" max="13062" width="8" style="475" customWidth="1"/>
    <col min="13063" max="13063" width="7.140625" style="475" customWidth="1"/>
    <col min="13064" max="13064" width="8.42578125" style="475" customWidth="1"/>
    <col min="13065" max="13065" width="3.140625" style="475" customWidth="1"/>
    <col min="13066" max="13066" width="5.7109375" style="475" customWidth="1"/>
    <col min="13067" max="13067" width="6.5703125" style="475" customWidth="1"/>
    <col min="13068" max="13068" width="2.7109375" style="475" customWidth="1"/>
    <col min="13069" max="13069" width="3.140625" style="475" customWidth="1"/>
    <col min="13070" max="13070" width="2.7109375" style="475" customWidth="1"/>
    <col min="13071" max="13071" width="3.7109375" style="475" customWidth="1"/>
    <col min="13072" max="13072" width="6.5703125" style="475" customWidth="1"/>
    <col min="13073" max="13073" width="3.7109375" style="475" customWidth="1"/>
    <col min="13074" max="13074" width="9" style="475" customWidth="1"/>
    <col min="13075" max="13075" width="9.42578125" style="475" customWidth="1"/>
    <col min="13076" max="13076" width="11.85546875" style="475" customWidth="1"/>
    <col min="13077" max="13077" width="12.42578125" style="475" customWidth="1"/>
    <col min="13078" max="13312" width="9.140625" style="475"/>
    <col min="13313" max="13313" width="4.85546875" style="475" customWidth="1"/>
    <col min="13314" max="13314" width="6.28515625" style="475" customWidth="1"/>
    <col min="13315" max="13315" width="6.140625" style="475" customWidth="1"/>
    <col min="13316" max="13316" width="4" style="475" customWidth="1"/>
    <col min="13317" max="13317" width="1.5703125" style="475" customWidth="1"/>
    <col min="13318" max="13318" width="8" style="475" customWidth="1"/>
    <col min="13319" max="13319" width="7.140625" style="475" customWidth="1"/>
    <col min="13320" max="13320" width="8.42578125" style="475" customWidth="1"/>
    <col min="13321" max="13321" width="3.140625" style="475" customWidth="1"/>
    <col min="13322" max="13322" width="5.7109375" style="475" customWidth="1"/>
    <col min="13323" max="13323" width="6.5703125" style="475" customWidth="1"/>
    <col min="13324" max="13324" width="2.7109375" style="475" customWidth="1"/>
    <col min="13325" max="13325" width="3.140625" style="475" customWidth="1"/>
    <col min="13326" max="13326" width="2.7109375" style="475" customWidth="1"/>
    <col min="13327" max="13327" width="3.7109375" style="475" customWidth="1"/>
    <col min="13328" max="13328" width="6.5703125" style="475" customWidth="1"/>
    <col min="13329" max="13329" width="3.7109375" style="475" customWidth="1"/>
    <col min="13330" max="13330" width="9" style="475" customWidth="1"/>
    <col min="13331" max="13331" width="9.42578125" style="475" customWidth="1"/>
    <col min="13332" max="13332" width="11.85546875" style="475" customWidth="1"/>
    <col min="13333" max="13333" width="12.42578125" style="475" customWidth="1"/>
    <col min="13334" max="13568" width="9.140625" style="475"/>
    <col min="13569" max="13569" width="4.85546875" style="475" customWidth="1"/>
    <col min="13570" max="13570" width="6.28515625" style="475" customWidth="1"/>
    <col min="13571" max="13571" width="6.140625" style="475" customWidth="1"/>
    <col min="13572" max="13572" width="4" style="475" customWidth="1"/>
    <col min="13573" max="13573" width="1.5703125" style="475" customWidth="1"/>
    <col min="13574" max="13574" width="8" style="475" customWidth="1"/>
    <col min="13575" max="13575" width="7.140625" style="475" customWidth="1"/>
    <col min="13576" max="13576" width="8.42578125" style="475" customWidth="1"/>
    <col min="13577" max="13577" width="3.140625" style="475" customWidth="1"/>
    <col min="13578" max="13578" width="5.7109375" style="475" customWidth="1"/>
    <col min="13579" max="13579" width="6.5703125" style="475" customWidth="1"/>
    <col min="13580" max="13580" width="2.7109375" style="475" customWidth="1"/>
    <col min="13581" max="13581" width="3.140625" style="475" customWidth="1"/>
    <col min="13582" max="13582" width="2.7109375" style="475" customWidth="1"/>
    <col min="13583" max="13583" width="3.7109375" style="475" customWidth="1"/>
    <col min="13584" max="13584" width="6.5703125" style="475" customWidth="1"/>
    <col min="13585" max="13585" width="3.7109375" style="475" customWidth="1"/>
    <col min="13586" max="13586" width="9" style="475" customWidth="1"/>
    <col min="13587" max="13587" width="9.42578125" style="475" customWidth="1"/>
    <col min="13588" max="13588" width="11.85546875" style="475" customWidth="1"/>
    <col min="13589" max="13589" width="12.42578125" style="475" customWidth="1"/>
    <col min="13590" max="13824" width="9.140625" style="475"/>
    <col min="13825" max="13825" width="4.85546875" style="475" customWidth="1"/>
    <col min="13826" max="13826" width="6.28515625" style="475" customWidth="1"/>
    <col min="13827" max="13827" width="6.140625" style="475" customWidth="1"/>
    <col min="13828" max="13828" width="4" style="475" customWidth="1"/>
    <col min="13829" max="13829" width="1.5703125" style="475" customWidth="1"/>
    <col min="13830" max="13830" width="8" style="475" customWidth="1"/>
    <col min="13831" max="13831" width="7.140625" style="475" customWidth="1"/>
    <col min="13832" max="13832" width="8.42578125" style="475" customWidth="1"/>
    <col min="13833" max="13833" width="3.140625" style="475" customWidth="1"/>
    <col min="13834" max="13834" width="5.7109375" style="475" customWidth="1"/>
    <col min="13835" max="13835" width="6.5703125" style="475" customWidth="1"/>
    <col min="13836" max="13836" width="2.7109375" style="475" customWidth="1"/>
    <col min="13837" max="13837" width="3.140625" style="475" customWidth="1"/>
    <col min="13838" max="13838" width="2.7109375" style="475" customWidth="1"/>
    <col min="13839" max="13839" width="3.7109375" style="475" customWidth="1"/>
    <col min="13840" max="13840" width="6.5703125" style="475" customWidth="1"/>
    <col min="13841" max="13841" width="3.7109375" style="475" customWidth="1"/>
    <col min="13842" max="13842" width="9" style="475" customWidth="1"/>
    <col min="13843" max="13843" width="9.42578125" style="475" customWidth="1"/>
    <col min="13844" max="13844" width="11.85546875" style="475" customWidth="1"/>
    <col min="13845" max="13845" width="12.42578125" style="475" customWidth="1"/>
    <col min="13846" max="14080" width="9.140625" style="475"/>
    <col min="14081" max="14081" width="4.85546875" style="475" customWidth="1"/>
    <col min="14082" max="14082" width="6.28515625" style="475" customWidth="1"/>
    <col min="14083" max="14083" width="6.140625" style="475" customWidth="1"/>
    <col min="14084" max="14084" width="4" style="475" customWidth="1"/>
    <col min="14085" max="14085" width="1.5703125" style="475" customWidth="1"/>
    <col min="14086" max="14086" width="8" style="475" customWidth="1"/>
    <col min="14087" max="14087" width="7.140625" style="475" customWidth="1"/>
    <col min="14088" max="14088" width="8.42578125" style="475" customWidth="1"/>
    <col min="14089" max="14089" width="3.140625" style="475" customWidth="1"/>
    <col min="14090" max="14090" width="5.7109375" style="475" customWidth="1"/>
    <col min="14091" max="14091" width="6.5703125" style="475" customWidth="1"/>
    <col min="14092" max="14092" width="2.7109375" style="475" customWidth="1"/>
    <col min="14093" max="14093" width="3.140625" style="475" customWidth="1"/>
    <col min="14094" max="14094" width="2.7109375" style="475" customWidth="1"/>
    <col min="14095" max="14095" width="3.7109375" style="475" customWidth="1"/>
    <col min="14096" max="14096" width="6.5703125" style="475" customWidth="1"/>
    <col min="14097" max="14097" width="3.7109375" style="475" customWidth="1"/>
    <col min="14098" max="14098" width="9" style="475" customWidth="1"/>
    <col min="14099" max="14099" width="9.42578125" style="475" customWidth="1"/>
    <col min="14100" max="14100" width="11.85546875" style="475" customWidth="1"/>
    <col min="14101" max="14101" width="12.42578125" style="475" customWidth="1"/>
    <col min="14102" max="14336" width="9.140625" style="475"/>
    <col min="14337" max="14337" width="4.85546875" style="475" customWidth="1"/>
    <col min="14338" max="14338" width="6.28515625" style="475" customWidth="1"/>
    <col min="14339" max="14339" width="6.140625" style="475" customWidth="1"/>
    <col min="14340" max="14340" width="4" style="475" customWidth="1"/>
    <col min="14341" max="14341" width="1.5703125" style="475" customWidth="1"/>
    <col min="14342" max="14342" width="8" style="475" customWidth="1"/>
    <col min="14343" max="14343" width="7.140625" style="475" customWidth="1"/>
    <col min="14344" max="14344" width="8.42578125" style="475" customWidth="1"/>
    <col min="14345" max="14345" width="3.140625" style="475" customWidth="1"/>
    <col min="14346" max="14346" width="5.7109375" style="475" customWidth="1"/>
    <col min="14347" max="14347" width="6.5703125" style="475" customWidth="1"/>
    <col min="14348" max="14348" width="2.7109375" style="475" customWidth="1"/>
    <col min="14349" max="14349" width="3.140625" style="475" customWidth="1"/>
    <col min="14350" max="14350" width="2.7109375" style="475" customWidth="1"/>
    <col min="14351" max="14351" width="3.7109375" style="475" customWidth="1"/>
    <col min="14352" max="14352" width="6.5703125" style="475" customWidth="1"/>
    <col min="14353" max="14353" width="3.7109375" style="475" customWidth="1"/>
    <col min="14354" max="14354" width="9" style="475" customWidth="1"/>
    <col min="14355" max="14355" width="9.42578125" style="475" customWidth="1"/>
    <col min="14356" max="14356" width="11.85546875" style="475" customWidth="1"/>
    <col min="14357" max="14357" width="12.42578125" style="475" customWidth="1"/>
    <col min="14358" max="14592" width="9.140625" style="475"/>
    <col min="14593" max="14593" width="4.85546875" style="475" customWidth="1"/>
    <col min="14594" max="14594" width="6.28515625" style="475" customWidth="1"/>
    <col min="14595" max="14595" width="6.140625" style="475" customWidth="1"/>
    <col min="14596" max="14596" width="4" style="475" customWidth="1"/>
    <col min="14597" max="14597" width="1.5703125" style="475" customWidth="1"/>
    <col min="14598" max="14598" width="8" style="475" customWidth="1"/>
    <col min="14599" max="14599" width="7.140625" style="475" customWidth="1"/>
    <col min="14600" max="14600" width="8.42578125" style="475" customWidth="1"/>
    <col min="14601" max="14601" width="3.140625" style="475" customWidth="1"/>
    <col min="14602" max="14602" width="5.7109375" style="475" customWidth="1"/>
    <col min="14603" max="14603" width="6.5703125" style="475" customWidth="1"/>
    <col min="14604" max="14604" width="2.7109375" style="475" customWidth="1"/>
    <col min="14605" max="14605" width="3.140625" style="475" customWidth="1"/>
    <col min="14606" max="14606" width="2.7109375" style="475" customWidth="1"/>
    <col min="14607" max="14607" width="3.7109375" style="475" customWidth="1"/>
    <col min="14608" max="14608" width="6.5703125" style="475" customWidth="1"/>
    <col min="14609" max="14609" width="3.7109375" style="475" customWidth="1"/>
    <col min="14610" max="14610" width="9" style="475" customWidth="1"/>
    <col min="14611" max="14611" width="9.42578125" style="475" customWidth="1"/>
    <col min="14612" max="14612" width="11.85546875" style="475" customWidth="1"/>
    <col min="14613" max="14613" width="12.42578125" style="475" customWidth="1"/>
    <col min="14614" max="14848" width="9.140625" style="475"/>
    <col min="14849" max="14849" width="4.85546875" style="475" customWidth="1"/>
    <col min="14850" max="14850" width="6.28515625" style="475" customWidth="1"/>
    <col min="14851" max="14851" width="6.140625" style="475" customWidth="1"/>
    <col min="14852" max="14852" width="4" style="475" customWidth="1"/>
    <col min="14853" max="14853" width="1.5703125" style="475" customWidth="1"/>
    <col min="14854" max="14854" width="8" style="475" customWidth="1"/>
    <col min="14855" max="14855" width="7.140625" style="475" customWidth="1"/>
    <col min="14856" max="14856" width="8.42578125" style="475" customWidth="1"/>
    <col min="14857" max="14857" width="3.140625" style="475" customWidth="1"/>
    <col min="14858" max="14858" width="5.7109375" style="475" customWidth="1"/>
    <col min="14859" max="14859" width="6.5703125" style="475" customWidth="1"/>
    <col min="14860" max="14860" width="2.7109375" style="475" customWidth="1"/>
    <col min="14861" max="14861" width="3.140625" style="475" customWidth="1"/>
    <col min="14862" max="14862" width="2.7109375" style="475" customWidth="1"/>
    <col min="14863" max="14863" width="3.7109375" style="475" customWidth="1"/>
    <col min="14864" max="14864" width="6.5703125" style="475" customWidth="1"/>
    <col min="14865" max="14865" width="3.7109375" style="475" customWidth="1"/>
    <col min="14866" max="14866" width="9" style="475" customWidth="1"/>
    <col min="14867" max="14867" width="9.42578125" style="475" customWidth="1"/>
    <col min="14868" max="14868" width="11.85546875" style="475" customWidth="1"/>
    <col min="14869" max="14869" width="12.42578125" style="475" customWidth="1"/>
    <col min="14870" max="15104" width="9.140625" style="475"/>
    <col min="15105" max="15105" width="4.85546875" style="475" customWidth="1"/>
    <col min="15106" max="15106" width="6.28515625" style="475" customWidth="1"/>
    <col min="15107" max="15107" width="6.140625" style="475" customWidth="1"/>
    <col min="15108" max="15108" width="4" style="475" customWidth="1"/>
    <col min="15109" max="15109" width="1.5703125" style="475" customWidth="1"/>
    <col min="15110" max="15110" width="8" style="475" customWidth="1"/>
    <col min="15111" max="15111" width="7.140625" style="475" customWidth="1"/>
    <col min="15112" max="15112" width="8.42578125" style="475" customWidth="1"/>
    <col min="15113" max="15113" width="3.140625" style="475" customWidth="1"/>
    <col min="15114" max="15114" width="5.7109375" style="475" customWidth="1"/>
    <col min="15115" max="15115" width="6.5703125" style="475" customWidth="1"/>
    <col min="15116" max="15116" width="2.7109375" style="475" customWidth="1"/>
    <col min="15117" max="15117" width="3.140625" style="475" customWidth="1"/>
    <col min="15118" max="15118" width="2.7109375" style="475" customWidth="1"/>
    <col min="15119" max="15119" width="3.7109375" style="475" customWidth="1"/>
    <col min="15120" max="15120" width="6.5703125" style="475" customWidth="1"/>
    <col min="15121" max="15121" width="3.7109375" style="475" customWidth="1"/>
    <col min="15122" max="15122" width="9" style="475" customWidth="1"/>
    <col min="15123" max="15123" width="9.42578125" style="475" customWidth="1"/>
    <col min="15124" max="15124" width="11.85546875" style="475" customWidth="1"/>
    <col min="15125" max="15125" width="12.42578125" style="475" customWidth="1"/>
    <col min="15126" max="15360" width="9.140625" style="475"/>
    <col min="15361" max="15361" width="4.85546875" style="475" customWidth="1"/>
    <col min="15362" max="15362" width="6.28515625" style="475" customWidth="1"/>
    <col min="15363" max="15363" width="6.140625" style="475" customWidth="1"/>
    <col min="15364" max="15364" width="4" style="475" customWidth="1"/>
    <col min="15365" max="15365" width="1.5703125" style="475" customWidth="1"/>
    <col min="15366" max="15366" width="8" style="475" customWidth="1"/>
    <col min="15367" max="15367" width="7.140625" style="475" customWidth="1"/>
    <col min="15368" max="15368" width="8.42578125" style="475" customWidth="1"/>
    <col min="15369" max="15369" width="3.140625" style="475" customWidth="1"/>
    <col min="15370" max="15370" width="5.7109375" style="475" customWidth="1"/>
    <col min="15371" max="15371" width="6.5703125" style="475" customWidth="1"/>
    <col min="15372" max="15372" width="2.7109375" style="475" customWidth="1"/>
    <col min="15373" max="15373" width="3.140625" style="475" customWidth="1"/>
    <col min="15374" max="15374" width="2.7109375" style="475" customWidth="1"/>
    <col min="15375" max="15375" width="3.7109375" style="475" customWidth="1"/>
    <col min="15376" max="15376" width="6.5703125" style="475" customWidth="1"/>
    <col min="15377" max="15377" width="3.7109375" style="475" customWidth="1"/>
    <col min="15378" max="15378" width="9" style="475" customWidth="1"/>
    <col min="15379" max="15379" width="9.42578125" style="475" customWidth="1"/>
    <col min="15380" max="15380" width="11.85546875" style="475" customWidth="1"/>
    <col min="15381" max="15381" width="12.42578125" style="475" customWidth="1"/>
    <col min="15382" max="15616" width="9.140625" style="475"/>
    <col min="15617" max="15617" width="4.85546875" style="475" customWidth="1"/>
    <col min="15618" max="15618" width="6.28515625" style="475" customWidth="1"/>
    <col min="15619" max="15619" width="6.140625" style="475" customWidth="1"/>
    <col min="15620" max="15620" width="4" style="475" customWidth="1"/>
    <col min="15621" max="15621" width="1.5703125" style="475" customWidth="1"/>
    <col min="15622" max="15622" width="8" style="475" customWidth="1"/>
    <col min="15623" max="15623" width="7.140625" style="475" customWidth="1"/>
    <col min="15624" max="15624" width="8.42578125" style="475" customWidth="1"/>
    <col min="15625" max="15625" width="3.140625" style="475" customWidth="1"/>
    <col min="15626" max="15626" width="5.7109375" style="475" customWidth="1"/>
    <col min="15627" max="15627" width="6.5703125" style="475" customWidth="1"/>
    <col min="15628" max="15628" width="2.7109375" style="475" customWidth="1"/>
    <col min="15629" max="15629" width="3.140625" style="475" customWidth="1"/>
    <col min="15630" max="15630" width="2.7109375" style="475" customWidth="1"/>
    <col min="15631" max="15631" width="3.7109375" style="475" customWidth="1"/>
    <col min="15632" max="15632" width="6.5703125" style="475" customWidth="1"/>
    <col min="15633" max="15633" width="3.7109375" style="475" customWidth="1"/>
    <col min="15634" max="15634" width="9" style="475" customWidth="1"/>
    <col min="15635" max="15635" width="9.42578125" style="475" customWidth="1"/>
    <col min="15636" max="15636" width="11.85546875" style="475" customWidth="1"/>
    <col min="15637" max="15637" width="12.42578125" style="475" customWidth="1"/>
    <col min="15638" max="15872" width="9.140625" style="475"/>
    <col min="15873" max="15873" width="4.85546875" style="475" customWidth="1"/>
    <col min="15874" max="15874" width="6.28515625" style="475" customWidth="1"/>
    <col min="15875" max="15875" width="6.140625" style="475" customWidth="1"/>
    <col min="15876" max="15876" width="4" style="475" customWidth="1"/>
    <col min="15877" max="15877" width="1.5703125" style="475" customWidth="1"/>
    <col min="15878" max="15878" width="8" style="475" customWidth="1"/>
    <col min="15879" max="15879" width="7.140625" style="475" customWidth="1"/>
    <col min="15880" max="15880" width="8.42578125" style="475" customWidth="1"/>
    <col min="15881" max="15881" width="3.140625" style="475" customWidth="1"/>
    <col min="15882" max="15882" width="5.7109375" style="475" customWidth="1"/>
    <col min="15883" max="15883" width="6.5703125" style="475" customWidth="1"/>
    <col min="15884" max="15884" width="2.7109375" style="475" customWidth="1"/>
    <col min="15885" max="15885" width="3.140625" style="475" customWidth="1"/>
    <col min="15886" max="15886" width="2.7109375" style="475" customWidth="1"/>
    <col min="15887" max="15887" width="3.7109375" style="475" customWidth="1"/>
    <col min="15888" max="15888" width="6.5703125" style="475" customWidth="1"/>
    <col min="15889" max="15889" width="3.7109375" style="475" customWidth="1"/>
    <col min="15890" max="15890" width="9" style="475" customWidth="1"/>
    <col min="15891" max="15891" width="9.42578125" style="475" customWidth="1"/>
    <col min="15892" max="15892" width="11.85546875" style="475" customWidth="1"/>
    <col min="15893" max="15893" width="12.42578125" style="475" customWidth="1"/>
    <col min="15894" max="16128" width="9.140625" style="475"/>
    <col min="16129" max="16129" width="4.85546875" style="475" customWidth="1"/>
    <col min="16130" max="16130" width="6.28515625" style="475" customWidth="1"/>
    <col min="16131" max="16131" width="6.140625" style="475" customWidth="1"/>
    <col min="16132" max="16132" width="4" style="475" customWidth="1"/>
    <col min="16133" max="16133" width="1.5703125" style="475" customWidth="1"/>
    <col min="16134" max="16134" width="8" style="475" customWidth="1"/>
    <col min="16135" max="16135" width="7.140625" style="475" customWidth="1"/>
    <col min="16136" max="16136" width="8.42578125" style="475" customWidth="1"/>
    <col min="16137" max="16137" width="3.140625" style="475" customWidth="1"/>
    <col min="16138" max="16138" width="5.7109375" style="475" customWidth="1"/>
    <col min="16139" max="16139" width="6.5703125" style="475" customWidth="1"/>
    <col min="16140" max="16140" width="2.7109375" style="475" customWidth="1"/>
    <col min="16141" max="16141" width="3.140625" style="475" customWidth="1"/>
    <col min="16142" max="16142" width="2.7109375" style="475" customWidth="1"/>
    <col min="16143" max="16143" width="3.7109375" style="475" customWidth="1"/>
    <col min="16144" max="16144" width="6.5703125" style="475" customWidth="1"/>
    <col min="16145" max="16145" width="3.7109375" style="475" customWidth="1"/>
    <col min="16146" max="16146" width="9" style="475" customWidth="1"/>
    <col min="16147" max="16147" width="9.42578125" style="475" customWidth="1"/>
    <col min="16148" max="16148" width="11.85546875" style="475" customWidth="1"/>
    <col min="16149" max="16149" width="12.42578125" style="475" customWidth="1"/>
    <col min="16150" max="16384" width="9.140625" style="475"/>
  </cols>
  <sheetData>
    <row r="1" spans="1:23" s="469" customFormat="1" ht="15" customHeight="1" thickTop="1">
      <c r="A1" s="1161" t="s">
        <v>425</v>
      </c>
      <c r="B1" s="1162"/>
      <c r="C1" s="1162"/>
      <c r="D1" s="1162"/>
      <c r="E1" s="1162"/>
      <c r="F1" s="1162"/>
      <c r="G1" s="1162"/>
      <c r="H1" s="1162"/>
      <c r="I1" s="1162"/>
      <c r="J1" s="1162"/>
      <c r="K1" s="1162"/>
      <c r="L1" s="1162"/>
      <c r="M1" s="1162"/>
      <c r="N1" s="1162"/>
      <c r="O1" s="1162"/>
      <c r="P1" s="1162"/>
      <c r="Q1" s="1162"/>
      <c r="R1" s="1162"/>
      <c r="S1" s="1162"/>
      <c r="T1" s="1162"/>
      <c r="U1" s="1163"/>
    </row>
    <row r="2" spans="1:23" s="469" customFormat="1" ht="9" customHeight="1">
      <c r="A2" s="1164"/>
      <c r="B2" s="1165"/>
      <c r="C2" s="1165"/>
      <c r="D2" s="1165"/>
      <c r="E2" s="1165"/>
      <c r="F2" s="1165"/>
      <c r="G2" s="1165"/>
      <c r="H2" s="1165"/>
      <c r="I2" s="1165"/>
      <c r="J2" s="1165"/>
      <c r="K2" s="1165"/>
      <c r="L2" s="1165"/>
      <c r="M2" s="1165"/>
      <c r="N2" s="1165"/>
      <c r="O2" s="1165"/>
      <c r="P2" s="1165"/>
      <c r="Q2" s="1165"/>
      <c r="R2" s="1165"/>
      <c r="S2" s="1165"/>
      <c r="T2" s="1165"/>
      <c r="U2" s="1166"/>
    </row>
    <row r="3" spans="1:23" s="469" customFormat="1" ht="12" customHeight="1">
      <c r="A3" s="1164"/>
      <c r="B3" s="1165"/>
      <c r="C3" s="1165"/>
      <c r="D3" s="1165"/>
      <c r="E3" s="1165"/>
      <c r="F3" s="1165"/>
      <c r="G3" s="1165"/>
      <c r="H3" s="1165"/>
      <c r="I3" s="1165"/>
      <c r="J3" s="1165"/>
      <c r="K3" s="1165"/>
      <c r="L3" s="1165"/>
      <c r="M3" s="1165"/>
      <c r="N3" s="1165"/>
      <c r="O3" s="1165"/>
      <c r="P3" s="1165"/>
      <c r="Q3" s="1165"/>
      <c r="R3" s="1165"/>
      <c r="S3" s="1165"/>
      <c r="T3" s="1165"/>
      <c r="U3" s="1166"/>
    </row>
    <row r="4" spans="1:23" s="469" customFormat="1" ht="11.25" customHeight="1" thickBot="1">
      <c r="A4" s="1167"/>
      <c r="B4" s="1168"/>
      <c r="C4" s="1168"/>
      <c r="D4" s="1168"/>
      <c r="E4" s="1168"/>
      <c r="F4" s="1168"/>
      <c r="G4" s="1168"/>
      <c r="H4" s="1168"/>
      <c r="I4" s="1168"/>
      <c r="J4" s="1168"/>
      <c r="K4" s="1168"/>
      <c r="L4" s="1168"/>
      <c r="M4" s="1168"/>
      <c r="N4" s="1168"/>
      <c r="O4" s="1168"/>
      <c r="P4" s="1168"/>
      <c r="Q4" s="1168"/>
      <c r="R4" s="1168"/>
      <c r="S4" s="1168"/>
      <c r="T4" s="1168"/>
      <c r="U4" s="1169"/>
    </row>
    <row r="5" spans="1:23" ht="7.5" customHeight="1">
      <c r="A5" s="470"/>
      <c r="B5" s="471"/>
      <c r="C5" s="471"/>
      <c r="D5" s="471"/>
      <c r="E5" s="471"/>
      <c r="F5" s="471"/>
      <c r="G5" s="471"/>
      <c r="H5" s="471"/>
      <c r="I5" s="471"/>
      <c r="J5" s="471"/>
      <c r="K5" s="471"/>
      <c r="L5" s="471"/>
      <c r="M5" s="471"/>
      <c r="N5" s="471"/>
      <c r="O5" s="472"/>
      <c r="P5" s="473"/>
      <c r="Q5" s="473"/>
      <c r="R5" s="473"/>
      <c r="S5" s="473"/>
      <c r="T5" s="473"/>
      <c r="U5" s="474"/>
    </row>
    <row r="6" spans="1:23" ht="14.25" customHeight="1" thickBot="1">
      <c r="A6" s="1195" t="s">
        <v>426</v>
      </c>
      <c r="B6" s="1196"/>
      <c r="C6" s="1197"/>
      <c r="D6" s="1197"/>
      <c r="E6" s="1197"/>
      <c r="F6" s="1197"/>
      <c r="L6" s="472"/>
      <c r="M6" s="472"/>
      <c r="N6" s="472"/>
      <c r="O6" s="472"/>
      <c r="P6" s="476"/>
      <c r="Q6" s="476"/>
      <c r="R6" s="476"/>
      <c r="S6" s="477" t="s">
        <v>427</v>
      </c>
      <c r="T6" s="478"/>
      <c r="U6" s="479"/>
      <c r="V6" s="480"/>
      <c r="W6" s="481"/>
    </row>
    <row r="7" spans="1:23" ht="12" customHeight="1" thickBot="1">
      <c r="A7" s="1195" t="s">
        <v>428</v>
      </c>
      <c r="B7" s="1196"/>
      <c r="C7" s="1198" t="str">
        <f>'[7]Delivery Order'!C7</f>
        <v>INTB-12</v>
      </c>
      <c r="D7" s="1198"/>
      <c r="E7" s="1198"/>
      <c r="F7" s="1198"/>
      <c r="L7" s="472"/>
      <c r="M7" s="472"/>
      <c r="N7" s="472"/>
      <c r="O7" s="472"/>
      <c r="P7" s="472"/>
      <c r="Q7" s="472"/>
      <c r="R7" s="472"/>
      <c r="S7" s="482" t="s">
        <v>429</v>
      </c>
      <c r="T7" s="483" t="str">
        <f>'[7]Delivery Order'!M7</f>
        <v xml:space="preserve"> </v>
      </c>
      <c r="U7" s="484"/>
      <c r="V7" s="472"/>
      <c r="W7" s="485"/>
    </row>
    <row r="8" spans="1:23" ht="11.25" customHeight="1" thickBot="1">
      <c r="A8" s="1195" t="s">
        <v>430</v>
      </c>
      <c r="B8" s="1196"/>
      <c r="C8" s="1198" t="str">
        <f>'[7]Delivery Order'!C8</f>
        <v>NBU</v>
      </c>
      <c r="D8" s="1198"/>
      <c r="E8" s="1198"/>
      <c r="F8" s="1198"/>
      <c r="L8" s="472"/>
      <c r="M8" s="472"/>
      <c r="N8" s="472"/>
      <c r="O8" s="472"/>
      <c r="P8" s="472"/>
      <c r="Q8" s="472"/>
      <c r="R8" s="472"/>
      <c r="S8" s="486" t="s">
        <v>431</v>
      </c>
      <c r="T8" s="483" t="str">
        <f>'[7]Delivery Order'!M8</f>
        <v>COSL 221</v>
      </c>
      <c r="U8" s="484"/>
      <c r="V8" s="487"/>
      <c r="W8" s="485"/>
    </row>
    <row r="9" spans="1:23" ht="11.25" customHeight="1">
      <c r="A9" s="488"/>
      <c r="B9" s="489"/>
      <c r="C9" s="490"/>
      <c r="D9" s="490"/>
      <c r="E9" s="490"/>
      <c r="F9" s="490"/>
      <c r="G9" s="491"/>
      <c r="H9" s="472"/>
      <c r="I9" s="487"/>
      <c r="J9" s="487"/>
      <c r="K9" s="472"/>
      <c r="L9" s="472"/>
      <c r="M9" s="472"/>
      <c r="N9" s="472"/>
      <c r="O9" s="472"/>
      <c r="P9" s="472"/>
      <c r="Q9" s="472"/>
      <c r="R9" s="472"/>
      <c r="S9" s="472"/>
      <c r="T9" s="472"/>
      <c r="U9" s="474"/>
    </row>
    <row r="10" spans="1:23">
      <c r="A10" s="492" t="s">
        <v>432</v>
      </c>
      <c r="B10" s="476"/>
      <c r="C10" s="476"/>
      <c r="D10" s="476"/>
      <c r="E10" s="476" t="s">
        <v>374</v>
      </c>
      <c r="F10" s="493">
        <f>[7]Design!B21</f>
        <v>4097</v>
      </c>
      <c r="G10" s="494" t="s">
        <v>433</v>
      </c>
      <c r="H10" s="476"/>
      <c r="I10" s="476"/>
      <c r="J10" s="476"/>
      <c r="K10" s="476"/>
      <c r="L10" s="476"/>
      <c r="M10" s="476"/>
      <c r="N10" s="476"/>
      <c r="O10" s="476"/>
      <c r="P10" s="476"/>
      <c r="Q10" s="476"/>
      <c r="R10" s="476"/>
      <c r="S10" s="476"/>
      <c r="T10" s="476"/>
      <c r="U10" s="474"/>
    </row>
    <row r="11" spans="1:23" ht="9.9499999999999993" customHeight="1">
      <c r="A11" s="492"/>
      <c r="B11" s="476"/>
      <c r="C11" s="476"/>
      <c r="D11" s="476"/>
      <c r="E11" s="476"/>
      <c r="F11" s="476"/>
      <c r="G11" s="476"/>
      <c r="H11" s="476"/>
      <c r="I11" s="476"/>
      <c r="J11" s="476"/>
      <c r="K11" s="476"/>
      <c r="L11" s="476"/>
      <c r="M11" s="476"/>
      <c r="N11" s="476"/>
      <c r="O11" s="476"/>
      <c r="P11" s="476"/>
      <c r="Q11" s="476"/>
      <c r="R11" s="476"/>
      <c r="S11" s="476"/>
      <c r="T11" s="476"/>
      <c r="U11" s="474"/>
    </row>
    <row r="12" spans="1:23">
      <c r="A12" s="492" t="s">
        <v>434</v>
      </c>
      <c r="B12" s="476"/>
      <c r="C12" s="476"/>
      <c r="D12" s="476"/>
      <c r="E12" s="476" t="s">
        <v>374</v>
      </c>
      <c r="F12" s="1191" t="str">
        <f>'[7]Delivery Order'!E20</f>
        <v>QN70</v>
      </c>
      <c r="G12" s="1191"/>
      <c r="H12" s="1191"/>
      <c r="I12" s="476"/>
      <c r="J12" s="476"/>
      <c r="K12" s="476"/>
      <c r="L12" s="476"/>
      <c r="M12" s="476"/>
      <c r="N12" s="476"/>
      <c r="O12" s="476"/>
      <c r="P12" s="476"/>
      <c r="Q12" s="476"/>
      <c r="R12" s="476"/>
      <c r="S12" s="476"/>
      <c r="T12" s="476"/>
      <c r="U12" s="474"/>
    </row>
    <row r="13" spans="1:23">
      <c r="A13" s="492" t="s">
        <v>435</v>
      </c>
      <c r="B13" s="476"/>
      <c r="C13" s="476"/>
      <c r="D13" s="476"/>
      <c r="E13" s="476"/>
      <c r="F13" s="495">
        <f>'[7]Delivery Order'!G20+'[7]Delivery Order'!G21</f>
        <v>146</v>
      </c>
      <c r="G13" s="496" t="s">
        <v>35</v>
      </c>
      <c r="H13" s="476"/>
      <c r="I13" s="476"/>
      <c r="J13" s="476"/>
      <c r="K13" s="476"/>
      <c r="L13" s="476"/>
      <c r="M13" s="476"/>
      <c r="N13" s="476"/>
      <c r="O13" s="476"/>
      <c r="P13" s="476"/>
      <c r="Q13" s="476"/>
      <c r="R13" s="476"/>
      <c r="S13" s="476"/>
      <c r="T13" s="476"/>
      <c r="U13" s="474"/>
    </row>
    <row r="14" spans="1:23" ht="9.9499999999999993" customHeight="1">
      <c r="A14" s="492"/>
      <c r="B14" s="476"/>
      <c r="C14" s="476"/>
      <c r="D14" s="476"/>
      <c r="E14" s="476"/>
      <c r="F14" s="476"/>
      <c r="G14" s="476"/>
      <c r="H14" s="476"/>
      <c r="I14" s="476"/>
      <c r="J14" s="476"/>
      <c r="K14" s="476"/>
      <c r="L14" s="476"/>
      <c r="M14" s="476"/>
      <c r="N14" s="476"/>
      <c r="O14" s="476"/>
      <c r="P14" s="476"/>
      <c r="Q14" s="476"/>
      <c r="R14" s="476"/>
      <c r="S14" s="476"/>
      <c r="T14" s="476"/>
      <c r="U14" s="474"/>
    </row>
    <row r="15" spans="1:23">
      <c r="A15" s="492" t="s">
        <v>119</v>
      </c>
      <c r="B15" s="476"/>
      <c r="C15" s="476"/>
      <c r="D15" s="476"/>
      <c r="E15" s="476" t="s">
        <v>374</v>
      </c>
      <c r="F15" s="497">
        <f>'[7]Delivery Order'!E27+'[7]Delivery Order'!E28</f>
        <v>273</v>
      </c>
      <c r="G15" s="498"/>
      <c r="H15" s="1192"/>
      <c r="I15" s="476"/>
      <c r="J15" s="499"/>
      <c r="K15" s="476"/>
      <c r="L15" s="476"/>
      <c r="M15" s="476"/>
      <c r="N15" s="476"/>
      <c r="O15" s="476"/>
      <c r="P15" s="476"/>
      <c r="Q15" s="476"/>
      <c r="R15" s="476"/>
      <c r="S15" s="476"/>
      <c r="T15" s="476"/>
      <c r="U15" s="474"/>
    </row>
    <row r="16" spans="1:23">
      <c r="A16" s="492" t="s">
        <v>436</v>
      </c>
      <c r="B16" s="476"/>
      <c r="C16" s="476"/>
      <c r="D16" s="476"/>
      <c r="E16" s="476" t="s">
        <v>374</v>
      </c>
      <c r="F16" s="497">
        <f>'[7]Delivery Order'!I27</f>
        <v>58</v>
      </c>
      <c r="G16" s="498"/>
      <c r="H16" s="1192"/>
      <c r="I16" s="476"/>
      <c r="J16" s="476"/>
      <c r="K16" s="476"/>
      <c r="L16" s="476"/>
      <c r="M16" s="476"/>
      <c r="N16" s="476"/>
      <c r="O16" s="476"/>
      <c r="P16" s="476"/>
      <c r="Q16" s="476"/>
      <c r="R16" s="476"/>
      <c r="S16" s="476"/>
      <c r="T16" s="476"/>
      <c r="U16" s="474"/>
    </row>
    <row r="17" spans="1:21" ht="16.149999999999999" customHeight="1">
      <c r="A17" s="492"/>
      <c r="B17" s="476"/>
      <c r="C17" s="476"/>
      <c r="D17" s="476"/>
      <c r="E17" s="476"/>
      <c r="F17" s="500"/>
      <c r="G17" s="501"/>
      <c r="H17" s="476"/>
      <c r="I17" s="476"/>
      <c r="J17" s="476"/>
      <c r="K17" s="476"/>
      <c r="L17" s="476"/>
      <c r="M17" s="476"/>
      <c r="N17" s="476"/>
      <c r="O17" s="476"/>
      <c r="P17" s="476"/>
      <c r="Q17" s="476"/>
      <c r="R17" s="476"/>
      <c r="S17" s="476"/>
      <c r="T17" s="476"/>
      <c r="U17" s="474"/>
    </row>
    <row r="18" spans="1:21">
      <c r="A18" s="492" t="s">
        <v>437</v>
      </c>
      <c r="B18" s="476"/>
      <c r="C18" s="476"/>
      <c r="D18" s="476"/>
      <c r="E18" s="476" t="s">
        <v>374</v>
      </c>
      <c r="F18" s="497">
        <f>'[7]Delivery Order'!G27+'[7]Delivery Order'!G28</f>
        <v>2688</v>
      </c>
      <c r="G18" s="1179"/>
      <c r="H18" s="1193"/>
      <c r="I18" s="476"/>
      <c r="J18" s="476"/>
      <c r="K18" s="476"/>
      <c r="L18" s="476"/>
      <c r="M18" s="476"/>
      <c r="N18" s="476"/>
      <c r="O18" s="476"/>
      <c r="P18" s="476"/>
      <c r="Q18" s="476"/>
      <c r="R18" s="476"/>
      <c r="S18" s="476"/>
      <c r="T18" s="476"/>
      <c r="U18" s="474"/>
    </row>
    <row r="19" spans="1:21">
      <c r="A19" s="502"/>
      <c r="B19" s="476"/>
      <c r="C19" s="476"/>
      <c r="D19" s="476"/>
      <c r="E19" s="476"/>
      <c r="F19" s="476"/>
      <c r="G19" s="476"/>
      <c r="H19" s="476"/>
      <c r="I19" s="476"/>
      <c r="J19" s="476"/>
      <c r="K19" s="476"/>
      <c r="L19" s="476"/>
      <c r="M19" s="476"/>
      <c r="N19" s="476"/>
      <c r="O19" s="476"/>
      <c r="P19" s="476"/>
      <c r="Q19" s="476"/>
      <c r="R19" s="476"/>
      <c r="S19" s="476"/>
      <c r="T19" s="476"/>
      <c r="U19" s="474"/>
    </row>
    <row r="20" spans="1:21">
      <c r="A20" s="502"/>
      <c r="B20" s="476"/>
      <c r="C20" s="476"/>
      <c r="D20" s="476"/>
      <c r="E20" s="476"/>
      <c r="F20" s="476"/>
      <c r="G20" s="476"/>
      <c r="H20" s="476"/>
      <c r="I20" s="476"/>
      <c r="J20" s="476"/>
      <c r="K20" s="476"/>
      <c r="L20" s="476"/>
      <c r="M20" s="476"/>
      <c r="N20" s="476"/>
      <c r="O20" s="476"/>
      <c r="P20" s="476"/>
      <c r="Q20" s="476"/>
      <c r="R20" s="476"/>
      <c r="S20" s="476"/>
      <c r="T20" s="476"/>
      <c r="U20" s="474"/>
    </row>
    <row r="21" spans="1:21">
      <c r="A21" s="492" t="s">
        <v>438</v>
      </c>
      <c r="B21" s="476"/>
      <c r="C21" s="476"/>
      <c r="D21" s="476"/>
      <c r="E21" s="476" t="s">
        <v>374</v>
      </c>
      <c r="F21" s="503">
        <v>1.62</v>
      </c>
      <c r="G21" s="504" t="s">
        <v>87</v>
      </c>
      <c r="H21" s="476"/>
      <c r="I21" s="476"/>
      <c r="J21" s="476"/>
      <c r="K21" s="476"/>
      <c r="L21" s="476"/>
      <c r="M21" s="476"/>
      <c r="N21" s="476"/>
      <c r="O21" s="476"/>
      <c r="P21" s="476"/>
      <c r="Q21" s="476"/>
      <c r="R21" s="476"/>
      <c r="S21" s="476"/>
      <c r="T21" s="476"/>
      <c r="U21" s="474"/>
    </row>
    <row r="22" spans="1:21">
      <c r="A22" s="492" t="s">
        <v>117</v>
      </c>
      <c r="B22" s="476"/>
      <c r="C22" s="476"/>
      <c r="D22" s="476"/>
      <c r="E22" s="476" t="s">
        <v>374</v>
      </c>
      <c r="F22" s="505">
        <v>2</v>
      </c>
      <c r="G22" s="504" t="s">
        <v>87</v>
      </c>
      <c r="H22" s="476"/>
      <c r="I22" s="476"/>
      <c r="J22" s="476"/>
      <c r="K22" s="476"/>
      <c r="L22" s="476"/>
      <c r="M22" s="476"/>
      <c r="N22" s="476"/>
      <c r="O22" s="476"/>
      <c r="P22" s="476"/>
      <c r="Q22" s="476"/>
      <c r="R22" s="476"/>
      <c r="S22" s="476"/>
      <c r="T22" s="476"/>
      <c r="U22" s="474"/>
    </row>
    <row r="23" spans="1:21">
      <c r="A23" s="492" t="str">
        <f>'[7]Delivery Order'!B23</f>
        <v>Intake</v>
      </c>
      <c r="B23" s="476"/>
      <c r="C23" s="476"/>
      <c r="D23" s="476"/>
      <c r="E23" s="476" t="s">
        <v>374</v>
      </c>
      <c r="F23" s="505">
        <v>3</v>
      </c>
      <c r="G23" s="504" t="s">
        <v>87</v>
      </c>
      <c r="H23" s="476"/>
      <c r="I23" s="476"/>
      <c r="J23" s="476"/>
      <c r="K23" s="476"/>
      <c r="L23" s="476"/>
      <c r="M23" s="476"/>
      <c r="N23" s="476"/>
      <c r="O23" s="476"/>
      <c r="P23" s="476"/>
      <c r="Q23" s="476"/>
      <c r="R23" s="476"/>
      <c r="S23" s="476"/>
      <c r="T23" s="476"/>
      <c r="U23" s="474"/>
    </row>
    <row r="24" spans="1:21" ht="14.25" customHeight="1">
      <c r="A24" s="492"/>
      <c r="B24" s="476"/>
      <c r="C24" s="476"/>
      <c r="D24" s="476"/>
      <c r="E24" s="476"/>
      <c r="F24" s="476"/>
      <c r="G24" s="476"/>
      <c r="H24" s="476"/>
      <c r="I24" s="476"/>
      <c r="J24" s="476"/>
      <c r="K24" s="476"/>
      <c r="L24" s="476"/>
      <c r="M24" s="476"/>
      <c r="N24" s="476"/>
      <c r="O24" s="476"/>
      <c r="P24" s="476"/>
      <c r="Q24" s="476"/>
      <c r="R24" s="476"/>
      <c r="S24" s="476"/>
      <c r="T24" s="476"/>
      <c r="U24" s="474"/>
    </row>
    <row r="25" spans="1:21">
      <c r="A25" s="492" t="s">
        <v>439</v>
      </c>
      <c r="B25" s="476"/>
      <c r="C25" s="476"/>
      <c r="D25" s="476"/>
      <c r="E25" s="476" t="s">
        <v>374</v>
      </c>
      <c r="F25" s="506" t="str">
        <f>'[7]Delivery Order'!D17</f>
        <v>POWERLIFT Round Cable</v>
      </c>
      <c r="G25" s="507"/>
      <c r="H25" s="476"/>
      <c r="I25" s="476"/>
      <c r="J25" s="476"/>
      <c r="K25" s="476"/>
      <c r="L25" s="476"/>
      <c r="M25" s="476"/>
      <c r="N25" s="476"/>
      <c r="O25" s="476"/>
      <c r="P25" s="476"/>
      <c r="Q25" s="476"/>
      <c r="R25" s="476"/>
      <c r="S25" s="476"/>
      <c r="T25" s="476"/>
      <c r="U25" s="474"/>
    </row>
    <row r="26" spans="1:21">
      <c r="A26" s="492" t="s">
        <v>440</v>
      </c>
      <c r="B26" s="476"/>
      <c r="C26" s="476"/>
      <c r="D26" s="476"/>
      <c r="E26" s="476" t="s">
        <v>374</v>
      </c>
      <c r="F26" s="508">
        <f>'[7]Delivery Order'!M18</f>
        <v>82</v>
      </c>
      <c r="G26" s="509" t="s">
        <v>433</v>
      </c>
      <c r="H26" s="476"/>
      <c r="I26" s="476"/>
      <c r="J26" s="476"/>
      <c r="K26" s="476"/>
      <c r="L26" s="476"/>
      <c r="M26" s="476"/>
      <c r="N26" s="476"/>
      <c r="O26" s="476"/>
      <c r="P26" s="476"/>
      <c r="Q26" s="476"/>
      <c r="R26" s="476"/>
      <c r="S26" s="476"/>
      <c r="T26" s="476"/>
      <c r="U26" s="474"/>
    </row>
    <row r="27" spans="1:21">
      <c r="A27" s="492" t="s">
        <v>441</v>
      </c>
      <c r="B27" s="476"/>
      <c r="C27" s="476"/>
      <c r="D27" s="476"/>
      <c r="E27" s="476" t="s">
        <v>374</v>
      </c>
      <c r="F27" s="508">
        <v>5097</v>
      </c>
      <c r="G27" s="509" t="s">
        <v>433</v>
      </c>
      <c r="H27" s="476"/>
      <c r="I27" s="476"/>
      <c r="J27" s="476"/>
      <c r="K27" s="476"/>
      <c r="L27" s="476"/>
      <c r="M27" s="476"/>
      <c r="N27" s="476"/>
      <c r="O27" s="476"/>
      <c r="P27" s="476"/>
      <c r="Q27" s="476"/>
      <c r="R27" s="476"/>
      <c r="S27" s="476"/>
      <c r="T27" s="476"/>
      <c r="U27" s="474"/>
    </row>
    <row r="28" spans="1:21" ht="9.9499999999999993" customHeight="1">
      <c r="A28" s="492"/>
      <c r="B28" s="476"/>
      <c r="C28" s="476"/>
      <c r="D28" s="476"/>
      <c r="E28" s="476"/>
      <c r="F28" s="496"/>
      <c r="G28" s="476"/>
      <c r="H28" s="476"/>
      <c r="I28" s="476"/>
      <c r="J28" s="476"/>
      <c r="K28" s="476"/>
      <c r="L28" s="476"/>
      <c r="M28" s="476"/>
      <c r="N28" s="476"/>
      <c r="O28" s="476"/>
      <c r="P28" s="476"/>
      <c r="Q28" s="476"/>
      <c r="R28" s="476"/>
      <c r="S28" s="476"/>
      <c r="T28" s="476"/>
      <c r="U28" s="474"/>
    </row>
    <row r="29" spans="1:21">
      <c r="A29" s="492" t="s">
        <v>442</v>
      </c>
      <c r="B29" s="476"/>
      <c r="C29" s="476"/>
      <c r="D29" s="476"/>
      <c r="E29" s="476" t="s">
        <v>374</v>
      </c>
      <c r="F29" s="510"/>
      <c r="G29" s="509" t="s">
        <v>433</v>
      </c>
      <c r="H29" s="476"/>
      <c r="I29" s="476"/>
      <c r="J29" s="476"/>
      <c r="K29" s="476"/>
      <c r="L29" s="476"/>
      <c r="M29" s="476"/>
      <c r="N29" s="476"/>
      <c r="O29" s="476"/>
      <c r="P29" s="476"/>
      <c r="Q29" s="476"/>
      <c r="R29" s="476"/>
      <c r="S29" s="476"/>
      <c r="T29" s="476"/>
      <c r="U29" s="474"/>
    </row>
    <row r="30" spans="1:21" ht="10.5" customHeight="1">
      <c r="A30" s="492" t="s">
        <v>584</v>
      </c>
      <c r="B30" s="476"/>
      <c r="C30" s="476"/>
      <c r="D30" s="476"/>
      <c r="E30" s="476"/>
      <c r="F30" s="496"/>
      <c r="G30" s="476"/>
      <c r="H30" s="476"/>
      <c r="I30" s="476"/>
      <c r="J30" s="476"/>
      <c r="K30" s="476"/>
      <c r="L30" s="476"/>
      <c r="M30" s="476"/>
      <c r="N30" s="476"/>
      <c r="O30" s="476"/>
      <c r="P30" s="476"/>
      <c r="Q30" s="476"/>
      <c r="R30" s="476"/>
      <c r="S30" s="476"/>
      <c r="T30" s="476"/>
      <c r="U30" s="474"/>
    </row>
    <row r="31" spans="1:21" ht="10.5" customHeight="1">
      <c r="A31" s="511"/>
      <c r="B31" s="476"/>
      <c r="C31" s="476"/>
      <c r="D31" s="476"/>
      <c r="E31" s="476"/>
      <c r="F31" s="476"/>
      <c r="G31" s="476"/>
      <c r="H31" s="476"/>
      <c r="I31" s="476"/>
      <c r="J31" s="476"/>
      <c r="K31" s="476"/>
      <c r="L31" s="476"/>
      <c r="M31" s="476"/>
      <c r="N31" s="476"/>
      <c r="O31" s="476"/>
      <c r="P31" s="476"/>
      <c r="Q31" s="476"/>
      <c r="R31" s="476"/>
      <c r="T31" s="1194" t="s">
        <v>443</v>
      </c>
      <c r="U31" s="512" t="s">
        <v>444</v>
      </c>
    </row>
    <row r="32" spans="1:21">
      <c r="A32" s="513" t="s">
        <v>445</v>
      </c>
      <c r="B32" s="1185">
        <f>F26</f>
        <v>82</v>
      </c>
      <c r="C32" s="1185"/>
      <c r="D32" s="1185"/>
      <c r="E32" s="514" t="s">
        <v>446</v>
      </c>
      <c r="F32" s="1185">
        <f>(F16*0.434)</f>
        <v>25.172000000000001</v>
      </c>
      <c r="G32" s="1185"/>
      <c r="H32" s="515" t="s">
        <v>447</v>
      </c>
      <c r="I32" s="514" t="s">
        <v>446</v>
      </c>
      <c r="J32" s="1186">
        <v>1.24</v>
      </c>
      <c r="K32" s="1186"/>
      <c r="L32" s="1186"/>
      <c r="M32" s="1186"/>
      <c r="N32" s="516" t="s">
        <v>244</v>
      </c>
      <c r="O32" s="1185">
        <f>(B32*F32*J32)/1000</f>
        <v>2.5594889599999999</v>
      </c>
      <c r="P32" s="1185"/>
      <c r="Q32" s="1185"/>
      <c r="R32" s="476" t="s">
        <v>448</v>
      </c>
      <c r="S32" s="476"/>
      <c r="T32" s="1194"/>
      <c r="U32" s="512" t="s">
        <v>449</v>
      </c>
    </row>
    <row r="33" spans="1:21">
      <c r="A33" s="511"/>
      <c r="B33" s="517" t="s">
        <v>450</v>
      </c>
      <c r="C33" s="476"/>
      <c r="D33" s="476"/>
      <c r="E33" s="476"/>
      <c r="F33" s="517" t="s">
        <v>451</v>
      </c>
      <c r="G33" s="476"/>
      <c r="H33" s="476"/>
      <c r="I33" s="476"/>
      <c r="J33" s="517" t="s">
        <v>452</v>
      </c>
      <c r="K33" s="476"/>
      <c r="L33" s="476"/>
      <c r="M33" s="476"/>
      <c r="N33" s="476"/>
      <c r="O33" s="517" t="s">
        <v>453</v>
      </c>
      <c r="P33" s="476"/>
      <c r="Q33" s="476"/>
      <c r="R33" s="476"/>
      <c r="S33" s="476"/>
      <c r="T33" s="518" t="s">
        <v>454</v>
      </c>
      <c r="U33" s="519">
        <v>1.23</v>
      </c>
    </row>
    <row r="34" spans="1:21">
      <c r="A34" s="520"/>
      <c r="B34" s="476"/>
      <c r="C34" s="476"/>
      <c r="D34" s="476"/>
      <c r="E34" s="476"/>
      <c r="F34" s="476"/>
      <c r="G34" s="476"/>
      <c r="H34" s="476"/>
      <c r="I34" s="476"/>
      <c r="J34" s="476"/>
      <c r="K34" s="476"/>
      <c r="L34" s="476"/>
      <c r="M34" s="476"/>
      <c r="N34" s="476"/>
      <c r="O34" s="476"/>
      <c r="P34" s="476"/>
      <c r="Q34" s="476"/>
      <c r="R34" s="476"/>
      <c r="S34" s="476"/>
      <c r="T34" s="521" t="s">
        <v>455</v>
      </c>
      <c r="U34" s="519">
        <v>1.23</v>
      </c>
    </row>
    <row r="35" spans="1:21">
      <c r="A35" s="513" t="s">
        <v>456</v>
      </c>
      <c r="B35" s="1185">
        <f>F27</f>
        <v>5097</v>
      </c>
      <c r="C35" s="1185"/>
      <c r="D35" s="1185"/>
      <c r="E35" s="514" t="s">
        <v>446</v>
      </c>
      <c r="F35" s="1185">
        <f>(F16*0.232)</f>
        <v>13.456000000000001</v>
      </c>
      <c r="G35" s="1185"/>
      <c r="H35" s="515" t="s">
        <v>447</v>
      </c>
      <c r="I35" s="514" t="s">
        <v>446</v>
      </c>
      <c r="J35" s="1186">
        <f>J32</f>
        <v>1.24</v>
      </c>
      <c r="K35" s="1186"/>
      <c r="L35" s="1186"/>
      <c r="M35" s="1186"/>
      <c r="N35" s="516" t="s">
        <v>244</v>
      </c>
      <c r="O35" s="1185">
        <f>(B35*F35*J35)/1000</f>
        <v>85.04568768</v>
      </c>
      <c r="P35" s="1185"/>
      <c r="Q35" s="1185"/>
      <c r="R35" s="476" t="s">
        <v>457</v>
      </c>
      <c r="S35" s="476"/>
      <c r="T35" s="521" t="s">
        <v>458</v>
      </c>
      <c r="U35" s="519">
        <v>1.23</v>
      </c>
    </row>
    <row r="36" spans="1:21">
      <c r="A36" s="511"/>
      <c r="B36" s="517" t="s">
        <v>459</v>
      </c>
      <c r="C36" s="476"/>
      <c r="D36" s="476"/>
      <c r="E36" s="476"/>
      <c r="F36" s="517" t="s">
        <v>460</v>
      </c>
      <c r="G36" s="476"/>
      <c r="H36" s="476"/>
      <c r="I36" s="476"/>
      <c r="J36" s="517" t="s">
        <v>452</v>
      </c>
      <c r="K36" s="476"/>
      <c r="L36" s="476"/>
      <c r="M36" s="476"/>
      <c r="N36" s="476"/>
      <c r="O36" s="517" t="s">
        <v>461</v>
      </c>
      <c r="P36" s="476"/>
      <c r="Q36" s="476"/>
      <c r="R36" s="476"/>
      <c r="S36" s="476"/>
      <c r="T36" s="522" t="s">
        <v>462</v>
      </c>
      <c r="U36" s="523">
        <v>1.24</v>
      </c>
    </row>
    <row r="37" spans="1:21">
      <c r="A37" s="520"/>
      <c r="B37" s="476"/>
      <c r="C37" s="476"/>
      <c r="D37" s="476"/>
      <c r="E37" s="476"/>
      <c r="F37" s="476"/>
      <c r="G37" s="476"/>
      <c r="H37" s="476"/>
      <c r="I37" s="476"/>
      <c r="J37" s="476"/>
      <c r="K37" s="476"/>
      <c r="L37" s="476"/>
      <c r="M37" s="476"/>
      <c r="N37" s="476"/>
      <c r="O37" s="476"/>
      <c r="P37" s="476"/>
      <c r="Q37" s="476"/>
      <c r="R37" s="476"/>
      <c r="S37" s="476"/>
      <c r="T37" s="524" t="s">
        <v>463</v>
      </c>
      <c r="U37" s="523">
        <v>1.39</v>
      </c>
    </row>
    <row r="38" spans="1:21">
      <c r="A38" s="513" t="s">
        <v>464</v>
      </c>
      <c r="B38" s="1185">
        <f>F29</f>
        <v>0</v>
      </c>
      <c r="C38" s="1185"/>
      <c r="D38" s="1185"/>
      <c r="E38" s="514" t="s">
        <v>446</v>
      </c>
      <c r="F38" s="1185">
        <f>(F35)</f>
        <v>13.456000000000001</v>
      </c>
      <c r="G38" s="1185"/>
      <c r="H38" s="515" t="s">
        <v>447</v>
      </c>
      <c r="I38" s="514" t="s">
        <v>446</v>
      </c>
      <c r="J38" s="1187" t="s">
        <v>187</v>
      </c>
      <c r="K38" s="1188"/>
      <c r="L38" s="1188"/>
      <c r="M38" s="1188"/>
      <c r="N38" s="516" t="s">
        <v>244</v>
      </c>
      <c r="O38" s="1185">
        <f>(B38*F38)/1000</f>
        <v>0</v>
      </c>
      <c r="P38" s="1185"/>
      <c r="Q38" s="1185"/>
      <c r="R38" s="476" t="s">
        <v>465</v>
      </c>
      <c r="S38" s="476"/>
      <c r="T38" s="522" t="s">
        <v>466</v>
      </c>
      <c r="U38" s="519">
        <v>1.25</v>
      </c>
    </row>
    <row r="39" spans="1:21">
      <c r="A39" s="511"/>
      <c r="B39" s="517" t="s">
        <v>467</v>
      </c>
      <c r="C39" s="476"/>
      <c r="D39" s="476"/>
      <c r="E39" s="476"/>
      <c r="F39" s="517" t="s">
        <v>460</v>
      </c>
      <c r="G39" s="476"/>
      <c r="H39" s="476"/>
      <c r="I39" s="476"/>
      <c r="J39" s="517" t="s">
        <v>468</v>
      </c>
      <c r="K39" s="476"/>
      <c r="L39" s="476"/>
      <c r="M39" s="476"/>
      <c r="N39" s="476"/>
      <c r="O39" s="517" t="s">
        <v>469</v>
      </c>
      <c r="P39" s="476"/>
      <c r="Q39" s="476"/>
      <c r="R39" s="476"/>
      <c r="S39" s="476"/>
      <c r="T39" s="521" t="s">
        <v>470</v>
      </c>
      <c r="U39" s="519">
        <v>1.23</v>
      </c>
    </row>
    <row r="40" spans="1:21" ht="12.75" customHeight="1">
      <c r="A40" s="511"/>
      <c r="B40" s="476"/>
      <c r="C40" s="476"/>
      <c r="D40" s="476"/>
      <c r="E40" s="476"/>
      <c r="F40" s="476"/>
      <c r="G40" s="476"/>
      <c r="H40" s="476"/>
      <c r="I40" s="476"/>
      <c r="J40" s="476"/>
      <c r="K40" s="476"/>
      <c r="L40" s="476"/>
      <c r="M40" s="476"/>
      <c r="N40" s="476"/>
      <c r="O40" s="476"/>
      <c r="P40" s="476"/>
      <c r="Q40" s="501"/>
      <c r="R40" s="476"/>
      <c r="S40" s="476"/>
      <c r="T40" s="525" t="s">
        <v>471</v>
      </c>
      <c r="U40" s="526">
        <v>1.24</v>
      </c>
    </row>
    <row r="41" spans="1:21">
      <c r="A41" s="1189">
        <f>O32</f>
        <v>2.5594889599999999</v>
      </c>
      <c r="B41" s="1185"/>
      <c r="C41" s="527" t="s">
        <v>472</v>
      </c>
      <c r="D41" s="1185">
        <f>O35</f>
        <v>85.04568768</v>
      </c>
      <c r="E41" s="1185"/>
      <c r="F41" s="1185"/>
      <c r="G41" s="527" t="s">
        <v>473</v>
      </c>
      <c r="H41" s="1185">
        <f>O38</f>
        <v>0</v>
      </c>
      <c r="I41" s="1185"/>
      <c r="J41" s="527" t="s">
        <v>474</v>
      </c>
      <c r="K41" s="528">
        <f>F18</f>
        <v>2688</v>
      </c>
      <c r="L41" s="1190">
        <f>G18</f>
        <v>0</v>
      </c>
      <c r="M41" s="1190"/>
      <c r="N41" s="516" t="s">
        <v>244</v>
      </c>
      <c r="O41" s="1177">
        <f>A41+D41+H41+K41</f>
        <v>2775.6051766400001</v>
      </c>
      <c r="P41" s="1177"/>
      <c r="Q41" s="1178"/>
      <c r="R41" s="1179"/>
      <c r="S41" s="476"/>
      <c r="T41" s="522" t="s">
        <v>475</v>
      </c>
      <c r="U41" s="519">
        <v>1.3</v>
      </c>
    </row>
    <row r="42" spans="1:21">
      <c r="A42" s="511"/>
      <c r="B42" s="476"/>
      <c r="C42" s="476"/>
      <c r="D42" s="476"/>
      <c r="E42" s="476"/>
      <c r="F42" s="476"/>
      <c r="G42" s="476"/>
      <c r="H42" s="476"/>
      <c r="I42" s="476"/>
      <c r="J42" s="476"/>
      <c r="K42" s="529" t="s">
        <v>120</v>
      </c>
      <c r="L42" s="476"/>
      <c r="M42" s="476"/>
      <c r="N42" s="476"/>
      <c r="O42" s="530" t="s">
        <v>476</v>
      </c>
      <c r="P42" s="476"/>
      <c r="Q42" s="476"/>
      <c r="R42" s="476"/>
      <c r="S42" s="476"/>
      <c r="T42" s="522" t="s">
        <v>477</v>
      </c>
      <c r="U42" s="523">
        <v>1.39</v>
      </c>
    </row>
    <row r="43" spans="1:21">
      <c r="A43" s="511"/>
      <c r="B43" s="476"/>
      <c r="C43" s="476"/>
      <c r="D43" s="476"/>
      <c r="E43" s="476"/>
      <c r="F43" s="476"/>
      <c r="G43" s="476"/>
      <c r="H43" s="476"/>
      <c r="I43" s="476"/>
      <c r="J43" s="476"/>
      <c r="K43" s="476"/>
      <c r="L43" s="476"/>
      <c r="M43" s="476"/>
      <c r="N43" s="476"/>
      <c r="O43" s="476"/>
      <c r="P43" s="476"/>
      <c r="Q43" s="476"/>
      <c r="R43" s="476"/>
      <c r="S43" s="476"/>
      <c r="T43" s="521" t="s">
        <v>478</v>
      </c>
      <c r="U43" s="523">
        <v>1.29</v>
      </c>
    </row>
    <row r="44" spans="1:21">
      <c r="A44" s="511"/>
      <c r="B44" s="476"/>
      <c r="C44" s="476"/>
      <c r="D44" s="476"/>
      <c r="E44" s="476"/>
      <c r="F44" s="476"/>
      <c r="G44" s="476"/>
      <c r="H44" s="476"/>
      <c r="I44" s="476"/>
      <c r="J44" s="476"/>
      <c r="K44" s="476"/>
      <c r="L44" s="1183"/>
      <c r="M44" s="1183"/>
      <c r="N44" s="1183"/>
      <c r="O44" s="1184"/>
      <c r="P44" s="1184"/>
      <c r="Q44" s="476"/>
      <c r="R44" s="476"/>
      <c r="S44" s="476"/>
      <c r="T44" s="522" t="s">
        <v>479</v>
      </c>
      <c r="U44" s="519">
        <v>1.1499999999999999</v>
      </c>
    </row>
    <row r="45" spans="1:21" ht="14.25">
      <c r="A45" s="531" t="s">
        <v>480</v>
      </c>
      <c r="B45" s="476"/>
      <c r="C45" s="476"/>
      <c r="D45" s="476"/>
      <c r="E45" s="476"/>
      <c r="F45" s="476"/>
      <c r="G45" s="476"/>
      <c r="H45" s="476"/>
      <c r="I45" s="476"/>
      <c r="J45" s="476"/>
      <c r="K45" s="476"/>
      <c r="L45" s="1177">
        <f>(O41*0.025)</f>
        <v>69.390129416000008</v>
      </c>
      <c r="M45" s="1177"/>
      <c r="N45" s="1177"/>
      <c r="O45" s="1178"/>
      <c r="P45" s="1179"/>
      <c r="Q45" s="476"/>
      <c r="R45" s="476"/>
      <c r="S45" s="476"/>
      <c r="T45" s="522" t="s">
        <v>481</v>
      </c>
      <c r="U45" s="519">
        <v>1.1499999999999999</v>
      </c>
    </row>
    <row r="46" spans="1:21">
      <c r="A46" s="511"/>
      <c r="B46" s="476"/>
      <c r="C46" s="476"/>
      <c r="D46" s="476"/>
      <c r="E46" s="476"/>
      <c r="F46" s="476"/>
      <c r="G46" s="476"/>
      <c r="H46" s="476"/>
      <c r="I46" s="476"/>
      <c r="J46" s="476"/>
      <c r="K46" s="476"/>
      <c r="L46" s="476"/>
      <c r="M46" s="476"/>
      <c r="N46" s="476"/>
      <c r="O46" s="1183"/>
      <c r="P46" s="1183"/>
      <c r="Q46" s="1184"/>
      <c r="R46" s="1184"/>
      <c r="S46" s="476"/>
      <c r="T46" s="522" t="s">
        <v>482</v>
      </c>
      <c r="U46" s="519">
        <v>1.23</v>
      </c>
    </row>
    <row r="47" spans="1:21" ht="12.75" customHeight="1">
      <c r="A47" s="532" t="s">
        <v>483</v>
      </c>
      <c r="B47" s="476"/>
      <c r="C47" s="476"/>
      <c r="D47" s="476"/>
      <c r="E47" s="476"/>
      <c r="F47" s="476"/>
      <c r="G47" s="476"/>
      <c r="H47" s="476"/>
      <c r="I47" s="476"/>
      <c r="J47" s="476"/>
      <c r="K47" s="476"/>
      <c r="L47" s="476"/>
      <c r="M47" s="476"/>
      <c r="N47" s="476"/>
      <c r="O47" s="1177">
        <f>(O41*1.025)</f>
        <v>2844.9953060559997</v>
      </c>
      <c r="P47" s="1177"/>
      <c r="Q47" s="1178"/>
      <c r="R47" s="1179"/>
      <c r="S47" s="476"/>
      <c r="T47" s="522" t="s">
        <v>484</v>
      </c>
      <c r="U47" s="519">
        <v>1.17</v>
      </c>
    </row>
    <row r="48" spans="1:21" ht="13.5" customHeight="1">
      <c r="A48" s="532"/>
      <c r="B48" s="476"/>
      <c r="C48" s="476"/>
      <c r="D48" s="476"/>
      <c r="E48" s="476"/>
      <c r="F48" s="476"/>
      <c r="G48" s="476"/>
      <c r="H48" s="476"/>
      <c r="I48" s="476"/>
      <c r="J48" s="476"/>
      <c r="K48" s="476"/>
      <c r="L48" s="476"/>
      <c r="M48" s="476"/>
      <c r="N48" s="476"/>
      <c r="O48" s="533"/>
      <c r="P48" s="533"/>
      <c r="Q48" s="533"/>
      <c r="R48" s="533"/>
      <c r="S48" s="476"/>
      <c r="T48" s="522" t="s">
        <v>485</v>
      </c>
      <c r="U48" s="519">
        <v>1.33</v>
      </c>
    </row>
    <row r="49" spans="1:21" ht="14.25">
      <c r="A49" s="531" t="s">
        <v>486</v>
      </c>
      <c r="B49" s="534"/>
      <c r="C49" s="534"/>
      <c r="D49" s="534"/>
      <c r="E49" s="534"/>
      <c r="F49" s="534"/>
      <c r="G49" s="535">
        <f>SUM((M52*F16*1.732*1.1)/1000)</f>
        <v>314.37653331167769</v>
      </c>
      <c r="H49" s="496" t="s">
        <v>487</v>
      </c>
      <c r="I49" s="476"/>
      <c r="J49" s="476"/>
      <c r="K49" s="476"/>
      <c r="L49" s="476"/>
      <c r="M49" s="476"/>
      <c r="N49" s="476"/>
      <c r="O49" s="533"/>
      <c r="P49" s="533"/>
      <c r="Q49" s="533"/>
      <c r="R49" s="533"/>
      <c r="S49" s="476"/>
      <c r="T49" s="524" t="s">
        <v>488</v>
      </c>
      <c r="U49" s="523">
        <v>1.37</v>
      </c>
    </row>
    <row r="50" spans="1:21">
      <c r="A50" s="536"/>
      <c r="B50" s="476"/>
      <c r="C50" s="476"/>
      <c r="D50" s="476"/>
      <c r="E50" s="476"/>
      <c r="F50" s="476"/>
      <c r="G50" s="476"/>
      <c r="H50" s="476"/>
      <c r="I50" s="476"/>
      <c r="J50" s="476"/>
      <c r="K50" s="476"/>
      <c r="L50" s="476"/>
      <c r="M50" s="476"/>
      <c r="N50" s="476"/>
      <c r="O50" s="527"/>
      <c r="P50" s="527"/>
      <c r="Q50" s="527"/>
      <c r="R50" s="527"/>
      <c r="S50" s="476"/>
      <c r="T50" s="522" t="s">
        <v>489</v>
      </c>
      <c r="U50" s="519">
        <v>1.24</v>
      </c>
    </row>
    <row r="51" spans="1:21">
      <c r="A51" s="536"/>
      <c r="B51" s="476"/>
      <c r="C51" s="476"/>
      <c r="D51" s="476"/>
      <c r="E51" s="476"/>
      <c r="F51" s="476"/>
      <c r="G51" s="476"/>
      <c r="H51" s="476"/>
      <c r="I51" s="476"/>
      <c r="J51" s="476"/>
      <c r="K51" s="476"/>
      <c r="L51" s="476"/>
      <c r="M51" s="476"/>
      <c r="N51" s="476"/>
      <c r="O51" s="527"/>
      <c r="P51" s="501"/>
      <c r="Q51" s="527"/>
      <c r="R51" s="527"/>
      <c r="S51" s="476"/>
      <c r="T51" s="524" t="s">
        <v>490</v>
      </c>
      <c r="U51" s="523">
        <v>1.39</v>
      </c>
    </row>
    <row r="52" spans="1:21">
      <c r="A52" s="511" t="s">
        <v>491</v>
      </c>
      <c r="B52" s="476"/>
      <c r="C52" s="476"/>
      <c r="D52" s="476"/>
      <c r="E52" s="476" t="s">
        <v>374</v>
      </c>
      <c r="F52" s="537" t="s">
        <v>492</v>
      </c>
      <c r="G52" s="537"/>
      <c r="H52" s="1180" t="s">
        <v>493</v>
      </c>
      <c r="I52" s="1180"/>
      <c r="J52" s="1180"/>
      <c r="K52" s="1180"/>
      <c r="L52" s="1181"/>
      <c r="M52" s="1177">
        <f>O47</f>
        <v>2844.9953060559997</v>
      </c>
      <c r="N52" s="1177"/>
      <c r="O52" s="1177"/>
      <c r="P52" s="1178"/>
      <c r="Q52" s="1179"/>
      <c r="R52" s="495" t="s">
        <v>494</v>
      </c>
      <c r="S52" s="476"/>
      <c r="T52" s="521" t="s">
        <v>495</v>
      </c>
      <c r="U52" s="519">
        <v>1.24</v>
      </c>
    </row>
    <row r="53" spans="1:21" ht="12.75" customHeight="1">
      <c r="A53" s="511"/>
      <c r="B53" s="476"/>
      <c r="C53" s="476"/>
      <c r="D53" s="476"/>
      <c r="E53" s="476"/>
      <c r="F53" s="476"/>
      <c r="G53" s="476"/>
      <c r="H53" s="476"/>
      <c r="I53" s="476"/>
      <c r="J53" s="476"/>
      <c r="K53" s="476"/>
      <c r="L53" s="476"/>
      <c r="M53" s="476"/>
      <c r="N53" s="476"/>
      <c r="O53" s="476"/>
      <c r="P53" s="476"/>
      <c r="Q53" s="476"/>
      <c r="R53" s="476"/>
      <c r="S53" s="476"/>
      <c r="T53" s="522" t="s">
        <v>496</v>
      </c>
      <c r="U53" s="519">
        <v>1.24</v>
      </c>
    </row>
    <row r="54" spans="1:21">
      <c r="A54" s="511" t="s">
        <v>497</v>
      </c>
      <c r="B54" s="476"/>
      <c r="C54" s="476"/>
      <c r="D54" s="476"/>
      <c r="E54" s="476" t="s">
        <v>374</v>
      </c>
      <c r="F54" s="1182" t="s">
        <v>498</v>
      </c>
      <c r="G54" s="1182"/>
      <c r="H54" s="476"/>
      <c r="I54" s="476"/>
      <c r="J54" s="476"/>
      <c r="K54" s="476"/>
      <c r="L54" s="476"/>
      <c r="M54" s="1183"/>
      <c r="N54" s="1183"/>
      <c r="O54" s="1183"/>
      <c r="P54" s="1183"/>
      <c r="Q54" s="1183"/>
      <c r="R54" s="495"/>
      <c r="S54" s="476"/>
      <c r="T54" s="524" t="s">
        <v>499</v>
      </c>
      <c r="U54" s="523">
        <v>1.29</v>
      </c>
    </row>
    <row r="55" spans="1:21" ht="10.5" customHeight="1">
      <c r="A55" s="511"/>
      <c r="B55" s="476"/>
      <c r="C55" s="476"/>
      <c r="D55" s="476"/>
      <c r="E55" s="476"/>
      <c r="F55" s="476" t="s">
        <v>41</v>
      </c>
      <c r="G55" s="476"/>
      <c r="H55" s="476"/>
      <c r="I55" s="476"/>
      <c r="J55" s="476"/>
      <c r="K55" s="476"/>
      <c r="L55" s="476"/>
      <c r="M55" s="476"/>
      <c r="N55" s="476"/>
      <c r="O55" s="476"/>
      <c r="P55" s="476"/>
      <c r="Q55" s="476"/>
      <c r="R55" s="476"/>
      <c r="S55" s="476"/>
      <c r="T55" s="538" t="s">
        <v>500</v>
      </c>
      <c r="U55" s="523">
        <v>1.39</v>
      </c>
    </row>
    <row r="56" spans="1:21">
      <c r="A56" s="511" t="s">
        <v>501</v>
      </c>
      <c r="B56" s="476"/>
      <c r="C56" s="476"/>
      <c r="D56" s="476"/>
      <c r="E56" s="476" t="s">
        <v>374</v>
      </c>
      <c r="F56" s="1170"/>
      <c r="G56" s="1170"/>
      <c r="H56" s="1170"/>
      <c r="I56" s="1170"/>
      <c r="J56" s="1171"/>
      <c r="K56" s="1171"/>
      <c r="L56" s="1172"/>
      <c r="M56" s="1173"/>
      <c r="N56" s="1173"/>
      <c r="O56" s="1173"/>
      <c r="P56" s="517"/>
      <c r="Q56" s="476"/>
      <c r="R56" s="476"/>
      <c r="S56" s="539"/>
      <c r="T56" s="476"/>
      <c r="U56" s="474"/>
    </row>
    <row r="57" spans="1:21" ht="10.5" customHeight="1">
      <c r="A57" s="511"/>
      <c r="B57" s="476"/>
      <c r="C57" s="476"/>
      <c r="D57" s="476"/>
      <c r="E57" s="476"/>
      <c r="F57" s="476"/>
      <c r="G57" s="476"/>
      <c r="H57" s="476"/>
      <c r="I57" s="476"/>
      <c r="J57" s="476"/>
      <c r="K57" s="476"/>
      <c r="L57" s="476"/>
      <c r="M57" s="476"/>
      <c r="N57" s="476"/>
      <c r="O57" s="476"/>
      <c r="P57" s="476"/>
      <c r="Q57" s="476"/>
      <c r="R57" s="476"/>
      <c r="S57" s="539"/>
      <c r="T57" s="476"/>
      <c r="U57" s="474"/>
    </row>
    <row r="58" spans="1:21" ht="14.25" customHeight="1">
      <c r="A58" s="511" t="s">
        <v>502</v>
      </c>
      <c r="B58" s="476"/>
      <c r="C58" s="476"/>
      <c r="D58" s="476"/>
      <c r="E58" s="476"/>
      <c r="F58" s="1174">
        <f>[7]Design!B22</f>
        <v>6000</v>
      </c>
      <c r="G58" s="1174"/>
      <c r="H58" s="476" t="s">
        <v>46</v>
      </c>
      <c r="I58" s="1175"/>
      <c r="J58" s="1175"/>
      <c r="K58" s="1175"/>
      <c r="L58" s="1175"/>
      <c r="M58" s="1175"/>
      <c r="N58" s="1175"/>
      <c r="O58" s="1175"/>
      <c r="P58" s="517"/>
      <c r="Q58" s="476"/>
      <c r="R58" s="476"/>
      <c r="S58" s="539"/>
      <c r="T58" s="476"/>
      <c r="U58" s="474"/>
    </row>
    <row r="59" spans="1:21">
      <c r="A59" s="511"/>
      <c r="B59" s="476"/>
      <c r="C59" s="476"/>
      <c r="D59" s="476"/>
      <c r="E59" s="476"/>
      <c r="F59" s="476"/>
      <c r="G59" s="476"/>
      <c r="H59" s="476"/>
      <c r="I59" s="476"/>
      <c r="J59" s="476"/>
      <c r="K59" s="476"/>
      <c r="L59" s="476"/>
      <c r="M59" s="476"/>
      <c r="N59" s="476"/>
      <c r="O59" s="476"/>
      <c r="P59" s="476"/>
      <c r="Q59" s="476"/>
      <c r="R59" s="476"/>
      <c r="S59" s="539"/>
      <c r="T59" s="476"/>
      <c r="U59" s="474"/>
    </row>
    <row r="60" spans="1:21">
      <c r="A60" s="540"/>
      <c r="B60" s="541"/>
      <c r="C60" s="541"/>
      <c r="D60" s="541"/>
      <c r="E60" s="541"/>
      <c r="F60" s="541"/>
      <c r="G60" s="541"/>
      <c r="H60" s="541"/>
      <c r="I60" s="541"/>
      <c r="J60" s="541"/>
      <c r="K60" s="541"/>
      <c r="L60" s="541"/>
      <c r="M60" s="541"/>
      <c r="N60" s="541"/>
      <c r="O60" s="541"/>
      <c r="P60" s="541"/>
      <c r="Q60" s="541"/>
      <c r="R60" s="541"/>
      <c r="S60" s="541"/>
      <c r="T60" s="541"/>
      <c r="U60" s="542"/>
    </row>
    <row r="61" spans="1:21">
      <c r="A61" s="543" t="s">
        <v>507</v>
      </c>
      <c r="B61" s="476"/>
      <c r="C61" s="476"/>
      <c r="D61" s="476"/>
      <c r="E61" s="476"/>
      <c r="F61" s="476"/>
      <c r="G61" s="476"/>
      <c r="H61" s="476"/>
      <c r="I61" s="476"/>
      <c r="J61" s="476"/>
      <c r="K61" s="476"/>
      <c r="L61" s="476"/>
      <c r="M61" s="476"/>
      <c r="N61" s="476"/>
      <c r="O61" s="476"/>
      <c r="P61" s="476"/>
      <c r="Q61" s="476"/>
      <c r="R61" s="476"/>
      <c r="S61" s="476"/>
      <c r="T61" s="476"/>
      <c r="U61" s="474"/>
    </row>
    <row r="62" spans="1:21" ht="12.75" customHeight="1">
      <c r="A62" s="511"/>
      <c r="B62" s="476"/>
      <c r="C62" s="476"/>
      <c r="D62" s="476"/>
      <c r="E62" s="476"/>
      <c r="F62" s="476"/>
      <c r="G62" s="476"/>
      <c r="H62" s="476"/>
      <c r="I62" s="476"/>
      <c r="J62" s="476"/>
      <c r="K62" s="476"/>
      <c r="L62" s="476"/>
      <c r="M62" s="476"/>
      <c r="N62" s="476"/>
      <c r="O62" s="476"/>
      <c r="P62" s="476"/>
      <c r="Q62" s="476"/>
      <c r="R62" s="476"/>
      <c r="S62" s="476"/>
      <c r="T62" s="476"/>
      <c r="U62" s="474"/>
    </row>
    <row r="63" spans="1:21">
      <c r="A63" s="511" t="s">
        <v>503</v>
      </c>
      <c r="B63" s="476"/>
      <c r="C63" s="476"/>
      <c r="D63" s="476"/>
      <c r="E63" s="476" t="s">
        <v>374</v>
      </c>
      <c r="F63" s="544" t="str">
        <f>F52</f>
        <v>200:5</v>
      </c>
      <c r="G63" s="545"/>
      <c r="H63" s="509"/>
      <c r="I63" s="476" t="s">
        <v>504</v>
      </c>
      <c r="J63" s="476"/>
      <c r="K63" s="476"/>
      <c r="L63" s="476"/>
      <c r="M63" s="1176"/>
      <c r="N63" s="1176"/>
      <c r="O63" s="1176"/>
      <c r="P63" s="1176"/>
      <c r="Q63" s="1176"/>
      <c r="R63" s="1176"/>
      <c r="S63" s="476"/>
      <c r="T63" s="476"/>
      <c r="U63" s="474"/>
    </row>
    <row r="64" spans="1:21" ht="19.5" customHeight="1">
      <c r="A64" s="511"/>
      <c r="B64" s="476"/>
      <c r="C64" s="476"/>
      <c r="D64" s="476"/>
      <c r="E64" s="476"/>
      <c r="F64" s="476"/>
      <c r="G64" s="476"/>
      <c r="H64" s="476"/>
      <c r="I64" s="476"/>
      <c r="J64" s="476"/>
      <c r="K64" s="476"/>
      <c r="L64" s="476"/>
      <c r="M64" s="476"/>
      <c r="N64" s="476"/>
      <c r="O64" s="476"/>
      <c r="P64" s="476"/>
      <c r="Q64" s="476"/>
      <c r="R64" s="476"/>
      <c r="S64" s="476"/>
      <c r="T64" s="476"/>
      <c r="U64" s="474"/>
    </row>
    <row r="65" spans="1:21">
      <c r="A65" s="492" t="s">
        <v>505</v>
      </c>
      <c r="B65" s="476"/>
      <c r="C65" s="476"/>
      <c r="D65" s="476"/>
      <c r="E65" s="476" t="s">
        <v>374</v>
      </c>
      <c r="F65" s="1157"/>
      <c r="G65" s="1158"/>
      <c r="H65" s="1158"/>
      <c r="I65" s="476" t="s">
        <v>506</v>
      </c>
      <c r="J65" s="476"/>
      <c r="K65" s="546"/>
      <c r="L65" s="547" t="s">
        <v>374</v>
      </c>
      <c r="M65" s="548"/>
      <c r="N65" s="548"/>
      <c r="O65" s="1159"/>
      <c r="P65" s="1160"/>
      <c r="Q65" s="1160"/>
      <c r="R65" s="1160"/>
      <c r="S65" s="509"/>
      <c r="T65" s="509"/>
      <c r="U65" s="549"/>
    </row>
    <row r="66" spans="1:21" ht="3.75" customHeight="1" thickBot="1">
      <c r="A66" s="550"/>
      <c r="B66" s="551"/>
      <c r="C66" s="551"/>
      <c r="D66" s="551"/>
      <c r="E66" s="551"/>
      <c r="F66" s="551"/>
      <c r="G66" s="551"/>
      <c r="H66" s="551"/>
      <c r="I66" s="551"/>
      <c r="J66" s="551"/>
      <c r="K66" s="551"/>
      <c r="L66" s="551"/>
      <c r="M66" s="551"/>
      <c r="N66" s="551"/>
      <c r="O66" s="551"/>
      <c r="P66" s="551"/>
      <c r="Q66" s="551"/>
      <c r="R66" s="551"/>
      <c r="S66" s="551"/>
      <c r="T66" s="552"/>
      <c r="U66" s="553"/>
    </row>
    <row r="67" spans="1:21" ht="13.5" thickTop="1"/>
  </sheetData>
  <mergeCells count="51">
    <mergeCell ref="A6:B6"/>
    <mergeCell ref="C6:F6"/>
    <mergeCell ref="A7:B7"/>
    <mergeCell ref="C7:F7"/>
    <mergeCell ref="A8:B8"/>
    <mergeCell ref="C8:F8"/>
    <mergeCell ref="F12:H12"/>
    <mergeCell ref="H15:H16"/>
    <mergeCell ref="G18:H18"/>
    <mergeCell ref="T31:T32"/>
    <mergeCell ref="B32:D32"/>
    <mergeCell ref="F32:G32"/>
    <mergeCell ref="J32:M32"/>
    <mergeCell ref="O32:Q32"/>
    <mergeCell ref="Q41:R41"/>
    <mergeCell ref="B35:D35"/>
    <mergeCell ref="F35:G35"/>
    <mergeCell ref="J35:M35"/>
    <mergeCell ref="O35:Q35"/>
    <mergeCell ref="B38:D38"/>
    <mergeCell ref="F38:G38"/>
    <mergeCell ref="J38:M38"/>
    <mergeCell ref="O38:Q38"/>
    <mergeCell ref="A41:B41"/>
    <mergeCell ref="D41:F41"/>
    <mergeCell ref="H41:I41"/>
    <mergeCell ref="L41:M41"/>
    <mergeCell ref="O41:P41"/>
    <mergeCell ref="P54:Q54"/>
    <mergeCell ref="L44:N44"/>
    <mergeCell ref="O44:P44"/>
    <mergeCell ref="L45:N45"/>
    <mergeCell ref="O45:P45"/>
    <mergeCell ref="O46:P46"/>
    <mergeCell ref="Q46:R46"/>
    <mergeCell ref="F65:H65"/>
    <mergeCell ref="O65:R65"/>
    <mergeCell ref="A1:U4"/>
    <mergeCell ref="F56:I56"/>
    <mergeCell ref="J56:K56"/>
    <mergeCell ref="L56:O56"/>
    <mergeCell ref="F58:G58"/>
    <mergeCell ref="I58:O58"/>
    <mergeCell ref="M63:R63"/>
    <mergeCell ref="O47:P47"/>
    <mergeCell ref="Q47:R47"/>
    <mergeCell ref="H52:L52"/>
    <mergeCell ref="M52:O52"/>
    <mergeCell ref="P52:Q52"/>
    <mergeCell ref="F54:G54"/>
    <mergeCell ref="M54:O54"/>
  </mergeCells>
  <conditionalFormatting sqref="Q47:R49 O45:P45 P52:Q52 L41:M41 Q41:R41 G18:H18 H15:H16 G16">
    <cfRule type="expression" dxfId="1" priority="1" stopIfTrue="1">
      <formula>ISERROR(G15)</formula>
    </cfRule>
  </conditionalFormatting>
  <conditionalFormatting sqref="F27 B32:D32 F32:G32 O32:Q32 O35:Q35 J35:M35 F35:G35 B35:D35 B38:D38 F38:G38 O38:Q38 O41:P41 K41 H41:I41 D41:F41 A41:B41 L45:N45 O47:P47 M52:O52 G49">
    <cfRule type="cellIs" dxfId="0" priority="2" stopIfTrue="1" operator="equal">
      <formula>0</formula>
    </cfRule>
  </conditionalFormatting>
  <hyperlinks>
    <hyperlink ref="O42" r:id="rId1" display="Volts@Transformer" xr:uid="{00000000-0004-0000-0C00-000000000000}"/>
  </hyperlinks>
  <pageMargins left="0.74803149606299213" right="0.74803149606299213" top="0.78" bottom="0.79" header="0.51181102362204722" footer="0.51181102362204722"/>
  <pageSetup paperSize="9" scale="59" fitToHeight="0" orientation="portrait" horizontalDpi="4294967293" r:id="rId2"/>
  <headerFooter alignWithMargins="0">
    <oddFooter>&amp;L&amp;"Times New Roman,Regular"&amp;10PHE OSES ESP Runlife Service Package C&amp;R&amp;"Times New Roman,Regular"&amp;10Contract No.:4710002132</oddFooter>
  </headerFooter>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2"/>
  <sheetViews>
    <sheetView zoomScale="85" zoomScaleNormal="85" workbookViewId="0">
      <selection activeCell="B5" sqref="B5"/>
    </sheetView>
  </sheetViews>
  <sheetFormatPr defaultRowHeight="15"/>
  <cols>
    <col min="1" max="1" width="13.7109375" customWidth="1"/>
    <col min="2" max="2" width="18.5703125" customWidth="1"/>
    <col min="3" max="3" width="25.42578125" customWidth="1"/>
    <col min="4" max="4" width="39.5703125" customWidth="1"/>
    <col min="5" max="5" width="26.7109375" customWidth="1"/>
    <col min="6" max="6" width="24.85546875" customWidth="1"/>
    <col min="7" max="7" width="24.7109375" customWidth="1"/>
    <col min="11" max="11" width="19.140625" customWidth="1"/>
    <col min="12" max="12" width="10.28515625" customWidth="1"/>
    <col min="13" max="13" width="8.85546875" customWidth="1"/>
  </cols>
  <sheetData>
    <row r="1" spans="1:8" ht="21">
      <c r="A1" s="554" t="s">
        <v>508</v>
      </c>
      <c r="B1" s="1"/>
      <c r="C1" s="1"/>
    </row>
    <row r="3" spans="1:8" ht="15.75" thickBot="1"/>
    <row r="4" spans="1:8" ht="36.75" customHeight="1" thickBot="1">
      <c r="A4" s="555" t="s">
        <v>509</v>
      </c>
      <c r="B4" s="555" t="s">
        <v>510</v>
      </c>
      <c r="C4" s="555" t="s">
        <v>511</v>
      </c>
    </row>
    <row r="5" spans="1:8" ht="36" customHeight="1" thickBot="1">
      <c r="A5" s="556">
        <v>273</v>
      </c>
      <c r="B5" s="557">
        <f>(A5*0.746)*1.732</f>
        <v>352.73565599999995</v>
      </c>
      <c r="C5" s="558" t="str">
        <f>IF(B5&lt;=150,"TR150 KVA",IF(B5&lt;=300,"TR300 KVA",IF(B5&lt;=500,"TR500 KVA",IF(B5&lt;=750,"TR750 KVA /1000 KVA ",IF(B5&lt;=1000,"TR1000 KVA")))))</f>
        <v>TR500 KVA</v>
      </c>
    </row>
    <row r="8" spans="1:8" ht="21">
      <c r="A8" s="554"/>
      <c r="B8" s="559"/>
      <c r="C8" s="559"/>
    </row>
    <row r="9" spans="1:8" ht="21">
      <c r="A9" s="554" t="s">
        <v>512</v>
      </c>
      <c r="B9" s="559"/>
      <c r="C9" s="559"/>
    </row>
    <row r="11" spans="1:8" ht="15.75" thickBot="1"/>
    <row r="12" spans="1:8" ht="57" customHeight="1" thickBot="1">
      <c r="A12" s="560" t="s">
        <v>513</v>
      </c>
      <c r="B12" s="448" t="s">
        <v>514</v>
      </c>
      <c r="C12" s="448" t="s">
        <v>515</v>
      </c>
      <c r="D12" s="448" t="s">
        <v>512</v>
      </c>
      <c r="E12" s="447" t="s">
        <v>516</v>
      </c>
      <c r="F12" s="448" t="s">
        <v>517</v>
      </c>
      <c r="G12" s="448" t="s">
        <v>518</v>
      </c>
    </row>
    <row r="13" spans="1:8" ht="36" customHeight="1" thickBot="1">
      <c r="A13" s="556">
        <v>500</v>
      </c>
      <c r="B13" s="556">
        <v>2688</v>
      </c>
      <c r="C13" s="556">
        <v>58</v>
      </c>
      <c r="D13" s="561">
        <f>((A13*1000)/1.732)/(B13)</f>
        <v>107.39717365006048</v>
      </c>
      <c r="E13" s="562" t="str">
        <f>IF(D13&gt;C13,"TRANSFORMER CUKUP","TRANFORMER TIDAK CUKUP")</f>
        <v>TRANSFORMER CUKUP</v>
      </c>
      <c r="F13" s="563">
        <f>(A13/1.732)/(0.746)</f>
        <v>386.97533883560669</v>
      </c>
      <c r="G13" s="561">
        <f>D13-C13</f>
        <v>49.397173650060481</v>
      </c>
      <c r="H13" s="564" t="s">
        <v>519</v>
      </c>
    </row>
    <row r="14" spans="1:8" ht="15.75" thickBot="1">
      <c r="A14" s="563">
        <f>A13*90%</f>
        <v>450</v>
      </c>
      <c r="B14" s="563">
        <f>B13</f>
        <v>2688</v>
      </c>
      <c r="C14" s="563">
        <f>C13</f>
        <v>58</v>
      </c>
      <c r="D14" s="561">
        <f>((A14*1000)/1.732)/(B14)</f>
        <v>96.657456285054437</v>
      </c>
      <c r="E14" s="562" t="str">
        <f>IF(D14&gt;C14,"TRANSFORMER CUKUP","TRANFORMER TIDAK CUKUP")</f>
        <v>TRANSFORMER CUKUP</v>
      </c>
      <c r="F14" s="563">
        <f>(A14/1.732)/(0.746)</f>
        <v>348.27780495204598</v>
      </c>
      <c r="G14" s="561">
        <f>D14-C14</f>
        <v>38.657456285054437</v>
      </c>
    </row>
    <row r="16" spans="1:8">
      <c r="A16" t="s">
        <v>520</v>
      </c>
      <c r="B16" s="565"/>
      <c r="C16" s="566" t="s">
        <v>521</v>
      </c>
    </row>
    <row r="17" spans="1:15">
      <c r="B17" s="32"/>
      <c r="C17" s="566" t="s">
        <v>522</v>
      </c>
    </row>
    <row r="18" spans="1:15">
      <c r="A18" t="s">
        <v>523</v>
      </c>
    </row>
    <row r="19" spans="1:15" ht="15.75" thickBot="1"/>
    <row r="20" spans="1:15" ht="36" customHeight="1" thickBot="1">
      <c r="A20" s="567" t="s">
        <v>408</v>
      </c>
      <c r="B20" s="448" t="s">
        <v>409</v>
      </c>
      <c r="C20" s="448" t="s">
        <v>410</v>
      </c>
      <c r="D20" s="448" t="s">
        <v>411</v>
      </c>
      <c r="E20" s="568" t="s">
        <v>412</v>
      </c>
    </row>
    <row r="21" spans="1:15" ht="36" customHeight="1" thickBot="1">
      <c r="A21" s="569">
        <v>125.78</v>
      </c>
      <c r="B21" s="452">
        <v>2</v>
      </c>
      <c r="C21" s="453">
        <v>5</v>
      </c>
      <c r="D21" s="452">
        <v>628.9</v>
      </c>
      <c r="E21" s="454">
        <f>((A21/C21)*B21)+D21</f>
        <v>679.21199999999999</v>
      </c>
      <c r="K21" s="570"/>
      <c r="L21" s="571" t="s">
        <v>524</v>
      </c>
      <c r="M21" s="1199"/>
      <c r="N21" s="571" t="s">
        <v>525</v>
      </c>
    </row>
    <row r="22" spans="1:15">
      <c r="K22" s="459" t="s">
        <v>526</v>
      </c>
      <c r="L22" s="572">
        <v>5855</v>
      </c>
      <c r="M22" s="1199"/>
      <c r="N22" s="572">
        <v>3652</v>
      </c>
    </row>
    <row r="23" spans="1:15">
      <c r="K23" s="459" t="s">
        <v>527</v>
      </c>
      <c r="L23" s="460">
        <v>1000</v>
      </c>
      <c r="M23" s="1199"/>
      <c r="N23" s="573">
        <f>L23*2.31</f>
        <v>2310</v>
      </c>
    </row>
    <row r="24" spans="1:15">
      <c r="A24" t="s">
        <v>528</v>
      </c>
      <c r="K24" s="56"/>
      <c r="L24" s="1200" t="s">
        <v>529</v>
      </c>
      <c r="M24" s="1200"/>
      <c r="N24" s="574">
        <f>N22-N23</f>
        <v>1342</v>
      </c>
      <c r="O24">
        <f>N24*0.994</f>
        <v>1333.9480000000001</v>
      </c>
    </row>
    <row r="28" spans="1:15">
      <c r="A28" s="575"/>
      <c r="B28" t="s">
        <v>530</v>
      </c>
    </row>
    <row r="29" spans="1:15">
      <c r="A29" s="576"/>
    </row>
    <row r="30" spans="1:15" ht="15.75" thickBot="1">
      <c r="A30" s="575"/>
    </row>
    <row r="31" spans="1:15" ht="50.1" customHeight="1" thickBot="1">
      <c r="A31" s="567" t="s">
        <v>531</v>
      </c>
      <c r="B31" s="448" t="s">
        <v>532</v>
      </c>
      <c r="C31" s="448" t="s">
        <v>533</v>
      </c>
      <c r="D31" s="448" t="s">
        <v>236</v>
      </c>
    </row>
    <row r="32" spans="1:15" ht="50.1" customHeight="1" thickBot="1">
      <c r="A32" s="569">
        <v>756</v>
      </c>
      <c r="B32" s="452">
        <v>5100</v>
      </c>
      <c r="C32" s="453">
        <v>63</v>
      </c>
      <c r="D32" s="577">
        <f>A32-(B32/C32)</f>
        <v>675.04761904761904</v>
      </c>
    </row>
    <row r="35" spans="1:3">
      <c r="A35" s="1201" t="s">
        <v>534</v>
      </c>
      <c r="B35" s="459" t="s">
        <v>535</v>
      </c>
      <c r="C35" s="571" t="s">
        <v>536</v>
      </c>
    </row>
    <row r="36" spans="1:3">
      <c r="A36" s="1201"/>
      <c r="B36" s="460">
        <v>1</v>
      </c>
      <c r="C36" s="573">
        <f>B36/2.31</f>
        <v>0.4329004329004329</v>
      </c>
    </row>
    <row r="37" spans="1:3">
      <c r="A37" s="1201" t="s">
        <v>537</v>
      </c>
      <c r="B37" s="459" t="s">
        <v>538</v>
      </c>
      <c r="C37" s="571" t="s">
        <v>539</v>
      </c>
    </row>
    <row r="38" spans="1:3">
      <c r="A38" s="1201"/>
      <c r="B38" s="460">
        <v>860</v>
      </c>
      <c r="C38" s="573">
        <f>B38*2.31</f>
        <v>1986.6000000000001</v>
      </c>
    </row>
    <row r="41" spans="1:3">
      <c r="A41" t="s">
        <v>520</v>
      </c>
      <c r="B41" s="565"/>
      <c r="C41" s="566" t="s">
        <v>521</v>
      </c>
    </row>
    <row r="42" spans="1:3">
      <c r="B42" s="32"/>
      <c r="C42" s="566" t="s">
        <v>522</v>
      </c>
    </row>
  </sheetData>
  <mergeCells count="4">
    <mergeCell ref="M21:M23"/>
    <mergeCell ref="L24:M24"/>
    <mergeCell ref="A35:A36"/>
    <mergeCell ref="A37:A38"/>
  </mergeCell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87"/>
  <sheetViews>
    <sheetView showGridLines="0" topLeftCell="A16" workbookViewId="0">
      <selection activeCell="K30" sqref="K30"/>
    </sheetView>
  </sheetViews>
  <sheetFormatPr defaultRowHeight="12.75"/>
  <cols>
    <col min="1" max="1" width="2.7109375" style="578" customWidth="1"/>
    <col min="2" max="12" width="9.140625" style="578"/>
    <col min="13" max="13" width="4.5703125" style="578" customWidth="1"/>
    <col min="14" max="17" width="9.140625" style="578"/>
    <col min="18" max="18" width="7.140625" style="578" customWidth="1"/>
    <col min="19" max="19" width="16.85546875" style="578" customWidth="1"/>
    <col min="20" max="20" width="16.140625" style="578" customWidth="1"/>
    <col min="21" max="16384" width="9.140625" style="578"/>
  </cols>
  <sheetData>
    <row r="1" spans="1:20" ht="21.75" customHeight="1">
      <c r="B1" s="579" t="s">
        <v>585</v>
      </c>
    </row>
    <row r="2" spans="1:20" ht="13.5" thickBot="1"/>
    <row r="3" spans="1:20" ht="13.5" thickBot="1">
      <c r="B3" s="580" t="s">
        <v>540</v>
      </c>
      <c r="C3" s="581">
        <v>44381</v>
      </c>
      <c r="D3" s="580" t="s">
        <v>541</v>
      </c>
      <c r="E3" s="582" t="s">
        <v>586</v>
      </c>
      <c r="F3" s="580" t="s">
        <v>542</v>
      </c>
      <c r="G3" s="582" t="s">
        <v>587</v>
      </c>
      <c r="H3" s="580" t="s">
        <v>543</v>
      </c>
      <c r="I3" s="582" t="s">
        <v>351</v>
      </c>
      <c r="L3" s="654"/>
      <c r="M3" s="654"/>
      <c r="N3" s="654"/>
      <c r="O3" s="654"/>
      <c r="P3" s="654"/>
      <c r="Q3" s="654"/>
    </row>
    <row r="4" spans="1:20" ht="14.25" thickTop="1" thickBot="1">
      <c r="B4" s="584" t="s">
        <v>118</v>
      </c>
      <c r="C4" s="624">
        <v>2688</v>
      </c>
      <c r="D4" s="606" t="s">
        <v>544</v>
      </c>
      <c r="E4" s="624">
        <v>58</v>
      </c>
      <c r="F4" s="606" t="s">
        <v>545</v>
      </c>
      <c r="G4" s="624">
        <v>273</v>
      </c>
      <c r="H4" s="606" t="s">
        <v>87</v>
      </c>
      <c r="I4" s="586" t="s">
        <v>546</v>
      </c>
      <c r="J4" s="625">
        <v>60</v>
      </c>
      <c r="K4" s="589" t="s">
        <v>547</v>
      </c>
      <c r="L4" s="653"/>
      <c r="M4" s="639"/>
      <c r="N4" s="654"/>
      <c r="O4" s="654"/>
      <c r="P4" s="654"/>
      <c r="Q4" s="654"/>
      <c r="R4" s="655"/>
      <c r="S4" s="644" t="s">
        <v>589</v>
      </c>
      <c r="T4" s="645" t="s">
        <v>590</v>
      </c>
    </row>
    <row r="5" spans="1:20" ht="13.5" thickBot="1">
      <c r="B5" s="584" t="s">
        <v>548</v>
      </c>
      <c r="C5" s="585" t="s">
        <v>549</v>
      </c>
      <c r="D5" s="626" t="s">
        <v>375</v>
      </c>
      <c r="E5" s="586" t="s">
        <v>35</v>
      </c>
      <c r="F5" s="626">
        <v>146</v>
      </c>
      <c r="G5" s="586" t="s">
        <v>550</v>
      </c>
      <c r="H5" s="626">
        <v>1.62</v>
      </c>
      <c r="I5" s="586" t="s">
        <v>551</v>
      </c>
      <c r="J5" s="587">
        <f>G15</f>
        <v>239.52</v>
      </c>
      <c r="K5" s="586" t="s">
        <v>546</v>
      </c>
      <c r="L5" s="588">
        <f>J4</f>
        <v>60</v>
      </c>
      <c r="M5" s="589" t="s">
        <v>547</v>
      </c>
      <c r="N5" s="656"/>
      <c r="O5" s="654"/>
      <c r="P5" s="654"/>
      <c r="Q5" s="654"/>
      <c r="S5" s="646">
        <v>66</v>
      </c>
      <c r="T5" s="647">
        <v>79</v>
      </c>
    </row>
    <row r="6" spans="1:20">
      <c r="A6" s="590" t="s">
        <v>552</v>
      </c>
      <c r="B6" s="627" t="s">
        <v>553</v>
      </c>
      <c r="C6" s="628"/>
      <c r="D6" s="629"/>
      <c r="E6" s="629"/>
      <c r="F6" s="628"/>
      <c r="G6" s="629"/>
      <c r="H6" s="628"/>
      <c r="I6" s="619"/>
      <c r="J6" s="630"/>
      <c r="K6" s="627"/>
      <c r="L6" s="658"/>
      <c r="M6" s="629"/>
      <c r="N6" s="654"/>
      <c r="O6" s="654"/>
      <c r="S6" s="646">
        <v>83</v>
      </c>
      <c r="T6" s="647">
        <v>100</v>
      </c>
    </row>
    <row r="7" spans="1:20">
      <c r="A7" s="590"/>
      <c r="B7" s="595" t="s">
        <v>554</v>
      </c>
      <c r="C7" s="596"/>
      <c r="D7" s="597"/>
      <c r="E7" s="597"/>
      <c r="F7" s="597"/>
      <c r="G7" s="598"/>
      <c r="H7" s="599">
        <v>1</v>
      </c>
      <c r="I7" s="600"/>
      <c r="J7" s="602"/>
      <c r="K7" s="653"/>
      <c r="L7" s="657"/>
      <c r="M7" s="654"/>
      <c r="N7" s="654"/>
      <c r="O7" s="654"/>
      <c r="P7" s="654"/>
      <c r="S7" s="646">
        <v>111</v>
      </c>
      <c r="T7" s="647">
        <v>134</v>
      </c>
    </row>
    <row r="8" spans="1:20" ht="13.5" thickBot="1">
      <c r="A8" s="590"/>
      <c r="B8" s="631" t="s">
        <v>555</v>
      </c>
      <c r="C8" s="632"/>
      <c r="D8" s="633"/>
      <c r="E8" s="633"/>
      <c r="F8" s="634"/>
      <c r="G8" s="603"/>
      <c r="H8" s="635"/>
      <c r="I8" s="660"/>
      <c r="J8" s="659"/>
      <c r="K8" s="653"/>
      <c r="L8" s="657"/>
      <c r="M8" s="654"/>
      <c r="N8" s="654"/>
      <c r="O8" s="654"/>
      <c r="P8" s="654"/>
      <c r="Q8" s="654"/>
      <c r="S8" s="646">
        <v>130</v>
      </c>
      <c r="T8" s="647">
        <v>156</v>
      </c>
    </row>
    <row r="9" spans="1:20" ht="13.5" thickBot="1">
      <c r="B9" s="580" t="s">
        <v>556</v>
      </c>
      <c r="C9" s="604" t="s">
        <v>549</v>
      </c>
      <c r="D9" s="636" t="s">
        <v>583</v>
      </c>
      <c r="E9" s="583">
        <v>3</v>
      </c>
      <c r="F9" s="605" t="s">
        <v>87</v>
      </c>
      <c r="H9" s="592"/>
      <c r="J9" s="637"/>
      <c r="K9" s="653"/>
      <c r="L9" s="654"/>
      <c r="M9" s="654"/>
      <c r="N9" s="654"/>
      <c r="O9" s="654"/>
      <c r="P9" s="654"/>
      <c r="Q9" s="654"/>
      <c r="S9" s="646">
        <v>163</v>
      </c>
      <c r="T9" s="647">
        <v>196</v>
      </c>
    </row>
    <row r="10" spans="1:20" ht="13.5" thickBot="1">
      <c r="B10" s="584" t="s">
        <v>557</v>
      </c>
      <c r="C10" s="624">
        <v>5097</v>
      </c>
      <c r="D10" s="606" t="s">
        <v>8</v>
      </c>
      <c r="E10" s="585">
        <f>K19</f>
        <v>11.809301098901098</v>
      </c>
      <c r="F10" s="607" t="s">
        <v>558</v>
      </c>
      <c r="G10" s="606"/>
      <c r="H10" s="608">
        <f>(C10*E10)/1000</f>
        <v>60.192007701098895</v>
      </c>
      <c r="I10" s="609" t="s">
        <v>559</v>
      </c>
      <c r="J10" s="607"/>
      <c r="K10" s="589"/>
      <c r="L10" s="656"/>
      <c r="M10" s="654"/>
      <c r="N10" s="654"/>
      <c r="O10" s="654"/>
      <c r="P10" s="654"/>
      <c r="Q10" s="654"/>
      <c r="S10" s="646">
        <v>200</v>
      </c>
      <c r="T10" s="647">
        <v>241</v>
      </c>
    </row>
    <row r="11" spans="1:20" ht="13.5" thickBot="1">
      <c r="B11" s="610" t="s">
        <v>560</v>
      </c>
      <c r="C11" s="637"/>
      <c r="D11" s="611"/>
      <c r="E11" s="638">
        <v>13.46</v>
      </c>
      <c r="F11" s="639" t="s">
        <v>558</v>
      </c>
      <c r="G11" s="639"/>
      <c r="H11" s="640">
        <f>E12+(C10*E11*1.24)/1000</f>
        <v>87.630968800000019</v>
      </c>
      <c r="I11" s="639" t="s">
        <v>561</v>
      </c>
      <c r="J11" s="612"/>
      <c r="K11" s="661"/>
      <c r="L11" s="654"/>
      <c r="M11" s="654"/>
      <c r="N11" s="654"/>
      <c r="O11" s="654"/>
      <c r="P11" s="654"/>
      <c r="Q11" s="654"/>
      <c r="S11" s="646">
        <v>260</v>
      </c>
      <c r="T11" s="647">
        <v>313</v>
      </c>
    </row>
    <row r="12" spans="1:20" ht="13.5" thickBot="1">
      <c r="B12" s="610" t="s">
        <v>453</v>
      </c>
      <c r="C12" s="637"/>
      <c r="D12" s="639"/>
      <c r="E12" s="638">
        <v>2.56</v>
      </c>
      <c r="F12" s="589" t="s">
        <v>494</v>
      </c>
      <c r="G12" s="639"/>
      <c r="H12" s="650"/>
      <c r="I12" s="639"/>
      <c r="J12" s="653"/>
      <c r="K12" s="654"/>
      <c r="L12" s="654"/>
      <c r="M12" s="654"/>
      <c r="N12" s="654"/>
      <c r="O12" s="654"/>
      <c r="S12" s="646">
        <v>325</v>
      </c>
      <c r="T12" s="647">
        <v>391</v>
      </c>
    </row>
    <row r="13" spans="1:20" ht="13.5" thickBot="1">
      <c r="B13" s="610" t="s">
        <v>562</v>
      </c>
      <c r="C13" s="611"/>
      <c r="D13" s="641">
        <v>0.76</v>
      </c>
      <c r="E13" s="610" t="s">
        <v>563</v>
      </c>
      <c r="F13" s="642">
        <v>390</v>
      </c>
      <c r="G13" s="639" t="s">
        <v>156</v>
      </c>
      <c r="H13" s="643">
        <v>469</v>
      </c>
      <c r="I13" s="612" t="s">
        <v>545</v>
      </c>
      <c r="J13" s="591"/>
      <c r="K13" s="654"/>
      <c r="L13" s="654"/>
      <c r="M13" s="654"/>
      <c r="N13" s="654"/>
      <c r="O13" s="654"/>
      <c r="S13" s="651">
        <v>390</v>
      </c>
      <c r="T13" s="652">
        <v>469</v>
      </c>
    </row>
    <row r="14" spans="1:20" ht="13.5" thickBot="1">
      <c r="A14" s="578">
        <v>8</v>
      </c>
      <c r="I14" s="654"/>
      <c r="J14" s="654"/>
      <c r="K14" s="654"/>
      <c r="L14" s="654"/>
      <c r="M14" s="654"/>
      <c r="N14" s="654"/>
      <c r="O14" s="654"/>
      <c r="S14" s="646">
        <v>454</v>
      </c>
      <c r="T14" s="647">
        <v>546</v>
      </c>
    </row>
    <row r="15" spans="1:20" ht="13.5" thickBot="1">
      <c r="B15" s="594" t="s">
        <v>564</v>
      </c>
      <c r="E15" s="613">
        <f>L5</f>
        <v>60</v>
      </c>
      <c r="F15" s="600" t="s">
        <v>565</v>
      </c>
      <c r="G15" s="614">
        <f>(H5*F5)+G17</f>
        <v>239.52</v>
      </c>
      <c r="H15" s="615" t="s">
        <v>87</v>
      </c>
      <c r="I15" s="653"/>
      <c r="J15" s="600"/>
      <c r="S15" s="646">
        <v>518</v>
      </c>
      <c r="T15" s="647">
        <v>624</v>
      </c>
    </row>
    <row r="16" spans="1:20" ht="13.5" thickBot="1">
      <c r="B16" s="578" t="s">
        <v>588</v>
      </c>
      <c r="H16" s="629"/>
      <c r="I16" s="662"/>
      <c r="J16" s="654"/>
      <c r="K16" s="654"/>
      <c r="L16" s="654"/>
      <c r="M16" s="654"/>
      <c r="S16" s="646">
        <v>600</v>
      </c>
      <c r="T16" s="647">
        <v>722</v>
      </c>
    </row>
    <row r="17" spans="1:20" ht="13.5" thickBot="1">
      <c r="B17" s="578" t="s">
        <v>566</v>
      </c>
      <c r="G17" s="616">
        <v>3</v>
      </c>
      <c r="H17" s="656"/>
      <c r="I17" s="654"/>
      <c r="J17" s="654"/>
      <c r="K17" s="654"/>
      <c r="L17" s="654"/>
      <c r="M17" s="654"/>
      <c r="N17" s="654"/>
      <c r="O17" s="654"/>
      <c r="P17" s="654"/>
      <c r="Q17" s="654"/>
      <c r="S17" s="646">
        <v>700</v>
      </c>
      <c r="T17" s="647">
        <v>843</v>
      </c>
    </row>
    <row r="18" spans="1:20" ht="13.5" thickBot="1">
      <c r="A18" s="578">
        <v>9</v>
      </c>
      <c r="J18" s="639"/>
      <c r="L18" s="653"/>
      <c r="M18" s="654"/>
      <c r="N18" s="654"/>
      <c r="O18" s="654"/>
      <c r="P18" s="654"/>
      <c r="Q18" s="654"/>
      <c r="S18" s="646">
        <v>815</v>
      </c>
      <c r="T18" s="647">
        <v>981</v>
      </c>
    </row>
    <row r="19" spans="1:20" ht="13.5" thickBot="1">
      <c r="B19" s="594" t="s">
        <v>567</v>
      </c>
      <c r="D19" s="613">
        <f>L5</f>
        <v>60</v>
      </c>
      <c r="E19" s="600" t="s">
        <v>565</v>
      </c>
      <c r="F19" s="614">
        <f>(G15*E4)/G4</f>
        <v>50.887032967032965</v>
      </c>
      <c r="G19" s="617" t="s">
        <v>545</v>
      </c>
      <c r="H19" s="584" t="s">
        <v>568</v>
      </c>
      <c r="I19" s="607"/>
      <c r="J19" s="607"/>
      <c r="K19" s="668">
        <f>F19/E4*E11</f>
        <v>11.809301098901098</v>
      </c>
      <c r="L19" s="653"/>
      <c r="M19" s="654"/>
      <c r="N19" s="654"/>
      <c r="O19" s="654"/>
      <c r="P19" s="654"/>
      <c r="Q19" s="654"/>
      <c r="S19" s="646">
        <v>932</v>
      </c>
      <c r="T19" s="647">
        <v>1122</v>
      </c>
    </row>
    <row r="20" spans="1:20">
      <c r="B20" s="593" t="s">
        <v>569</v>
      </c>
      <c r="C20" s="593"/>
      <c r="D20" s="618">
        <f>L5</f>
        <v>60</v>
      </c>
      <c r="E20" s="593" t="s">
        <v>570</v>
      </c>
      <c r="F20" s="593" t="s">
        <v>571</v>
      </c>
      <c r="G20" s="619"/>
      <c r="H20" s="578" t="s">
        <v>572</v>
      </c>
      <c r="S20" s="646">
        <v>1000</v>
      </c>
      <c r="T20" s="647">
        <v>1203</v>
      </c>
    </row>
    <row r="21" spans="1:20" ht="13.5" thickBot="1">
      <c r="C21" s="578" t="s">
        <v>573</v>
      </c>
      <c r="S21" s="648">
        <v>1200</v>
      </c>
      <c r="T21" s="649">
        <v>1445</v>
      </c>
    </row>
    <row r="22" spans="1:20" ht="14.25" thickTop="1" thickBot="1">
      <c r="A22" s="578">
        <v>10</v>
      </c>
      <c r="I22" s="654"/>
      <c r="J22" s="654"/>
      <c r="K22" s="654"/>
      <c r="L22" s="654"/>
      <c r="M22" s="654"/>
      <c r="N22" s="654"/>
      <c r="O22" s="654"/>
    </row>
    <row r="23" spans="1:20" ht="13.5" thickBot="1">
      <c r="B23" s="594" t="s">
        <v>574</v>
      </c>
      <c r="E23" s="613">
        <f>J4</f>
        <v>60</v>
      </c>
      <c r="F23" s="600" t="s">
        <v>565</v>
      </c>
      <c r="G23" s="614">
        <f>(C4+H11)*1.025</f>
        <v>2845.02174302</v>
      </c>
      <c r="H23" s="617" t="s">
        <v>494</v>
      </c>
      <c r="I23" s="656"/>
    </row>
    <row r="24" spans="1:20">
      <c r="B24" s="578" t="s">
        <v>591</v>
      </c>
    </row>
    <row r="26" spans="1:20" ht="13.5" thickBot="1">
      <c r="A26" s="578">
        <v>11</v>
      </c>
      <c r="G26" s="654"/>
      <c r="H26" s="654"/>
      <c r="I26" s="654"/>
      <c r="J26" s="654"/>
      <c r="K26" s="654"/>
    </row>
    <row r="27" spans="1:20" ht="13.5" thickBot="1">
      <c r="B27" s="594">
        <f>J4</f>
        <v>60</v>
      </c>
      <c r="C27" s="600" t="s">
        <v>37</v>
      </c>
      <c r="D27" s="594" t="s">
        <v>575</v>
      </c>
      <c r="E27" s="614">
        <f>(G23*E4*1.732*1.1)/1000</f>
        <v>314.37945463849888</v>
      </c>
      <c r="F27" s="617" t="s">
        <v>156</v>
      </c>
      <c r="G27" s="656"/>
      <c r="H27" s="654"/>
      <c r="I27" s="654"/>
      <c r="J27" s="654"/>
      <c r="K27" s="654"/>
    </row>
    <row r="28" spans="1:20">
      <c r="B28" s="593" t="s">
        <v>592</v>
      </c>
      <c r="C28" s="593"/>
      <c r="D28" s="593"/>
      <c r="E28" s="620"/>
      <c r="F28" s="593"/>
      <c r="G28" s="593"/>
      <c r="H28" s="662"/>
      <c r="I28" s="654"/>
    </row>
    <row r="29" spans="1:20">
      <c r="E29" s="578">
        <v>1000</v>
      </c>
    </row>
    <row r="30" spans="1:20" ht="13.5" thickBot="1">
      <c r="A30" s="578">
        <v>12</v>
      </c>
      <c r="F30" s="654"/>
    </row>
    <row r="31" spans="1:20" ht="13.5" thickBot="1">
      <c r="B31" s="594" t="s">
        <v>576</v>
      </c>
      <c r="D31" s="848">
        <f>((F13/E27)^(1/3))*J4</f>
        <v>64.46956412505871</v>
      </c>
      <c r="E31" s="617" t="s">
        <v>37</v>
      </c>
      <c r="F31" s="656"/>
      <c r="G31" s="654"/>
      <c r="H31" s="654"/>
      <c r="I31" s="654"/>
      <c r="J31" s="654"/>
    </row>
    <row r="32" spans="1:20" ht="13.5" thickBot="1">
      <c r="B32" s="601" t="s">
        <v>577</v>
      </c>
      <c r="C32" s="664" t="s">
        <v>597</v>
      </c>
      <c r="D32" s="589"/>
      <c r="E32" s="666" t="s">
        <v>594</v>
      </c>
      <c r="F32" s="578" t="s">
        <v>578</v>
      </c>
    </row>
    <row r="33" spans="1:12">
      <c r="B33" s="663"/>
      <c r="C33" s="613">
        <f>J4</f>
        <v>60</v>
      </c>
      <c r="D33" s="601" t="s">
        <v>598</v>
      </c>
    </row>
    <row r="34" spans="1:12" hidden="1">
      <c r="B34" s="621"/>
      <c r="C34" s="613"/>
      <c r="J34" s="622" t="e">
        <v>#DIV/0!</v>
      </c>
    </row>
    <row r="35" spans="1:12" ht="13.5" thickBot="1">
      <c r="A35" s="578">
        <v>13</v>
      </c>
      <c r="F35" s="654"/>
      <c r="H35" s="622"/>
    </row>
    <row r="36" spans="1:12" ht="16.5" thickBot="1">
      <c r="B36" s="594" t="s">
        <v>579</v>
      </c>
      <c r="D36" s="847">
        <f>J4*(G4/G15)^0.5</f>
        <v>64.056275358669211</v>
      </c>
      <c r="E36" s="617" t="s">
        <v>37</v>
      </c>
      <c r="F36" s="656"/>
      <c r="G36" s="654"/>
      <c r="H36" s="654"/>
      <c r="I36" s="654"/>
      <c r="J36" s="654"/>
      <c r="L36" s="623" t="s">
        <v>593</v>
      </c>
    </row>
    <row r="37" spans="1:12" ht="13.5" thickBot="1">
      <c r="B37" s="601" t="s">
        <v>580</v>
      </c>
      <c r="C37" s="665">
        <f>J4</f>
        <v>60</v>
      </c>
      <c r="D37" s="639" t="s">
        <v>581</v>
      </c>
      <c r="E37" s="589"/>
      <c r="F37" s="592" t="s">
        <v>596</v>
      </c>
      <c r="G37" s="667" t="s">
        <v>595</v>
      </c>
    </row>
    <row r="38" spans="1:12">
      <c r="B38" s="601"/>
      <c r="C38" s="662">
        <f>J4</f>
        <v>60</v>
      </c>
      <c r="D38" s="578" t="s">
        <v>582</v>
      </c>
      <c r="E38" s="601"/>
    </row>
    <row r="66" spans="2:7">
      <c r="B66" s="594"/>
      <c r="G66" s="594"/>
    </row>
    <row r="87" spans="2:5">
      <c r="B87" s="594"/>
      <c r="E87" s="594"/>
    </row>
  </sheetData>
  <pageMargins left="0.75" right="0.75" top="1" bottom="1" header="0.5" footer="0.5"/>
  <pageSetup orientation="portrait" horizontalDpi="4294967293" r:id="rId1"/>
  <headerFooter alignWithMargins="0">
    <oddFooter>&amp;CSchlumberger Private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23"/>
  <sheetViews>
    <sheetView topLeftCell="A4" zoomScale="88" zoomScaleNormal="100" workbookViewId="0">
      <selection activeCell="E21" sqref="E21"/>
    </sheetView>
  </sheetViews>
  <sheetFormatPr defaultRowHeight="15"/>
  <cols>
    <col min="2" max="2" width="6" customWidth="1"/>
    <col min="3" max="3" width="24.85546875" customWidth="1"/>
    <col min="4" max="4" width="21.140625" customWidth="1"/>
    <col min="5" max="5" width="42.7109375" customWidth="1"/>
    <col min="6" max="6" width="31.28515625" hidden="1" customWidth="1"/>
    <col min="7" max="7" width="26" hidden="1" customWidth="1"/>
    <col min="9" max="9" width="9.140625" hidden="1" customWidth="1"/>
    <col min="10" max="10" width="23.85546875" hidden="1" customWidth="1"/>
    <col min="11" max="11" width="19.140625" hidden="1" customWidth="1"/>
    <col min="12" max="12" width="31.42578125" hidden="1" customWidth="1"/>
  </cols>
  <sheetData>
    <row r="1" spans="1:13">
      <c r="A1" s="24"/>
      <c r="B1" s="24"/>
      <c r="C1" s="24"/>
      <c r="D1" s="24"/>
      <c r="E1" s="24"/>
      <c r="F1" s="24"/>
      <c r="G1" s="24"/>
      <c r="H1" s="24"/>
      <c r="I1" s="24"/>
      <c r="J1" s="24"/>
      <c r="K1" s="24"/>
      <c r="L1" s="24"/>
      <c r="M1" s="24"/>
    </row>
    <row r="2" spans="1:13">
      <c r="A2" s="24"/>
      <c r="B2" s="24"/>
      <c r="C2" s="24"/>
      <c r="D2" s="24"/>
      <c r="E2" s="24"/>
      <c r="F2" s="24"/>
      <c r="G2" s="24"/>
      <c r="H2" s="24"/>
      <c r="I2" s="24"/>
      <c r="J2" s="24"/>
      <c r="K2" s="24"/>
      <c r="L2" s="24"/>
      <c r="M2" s="24"/>
    </row>
    <row r="3" spans="1:13">
      <c r="A3" s="24"/>
      <c r="B3" s="1202" t="s">
        <v>41</v>
      </c>
      <c r="C3" s="1202" t="s">
        <v>3</v>
      </c>
      <c r="D3" s="1204" t="s">
        <v>209</v>
      </c>
      <c r="E3" s="1202" t="s">
        <v>225</v>
      </c>
      <c r="F3" s="197"/>
      <c r="G3" s="12"/>
      <c r="H3" s="102"/>
      <c r="I3" s="24"/>
      <c r="J3" s="24"/>
      <c r="K3" s="24"/>
      <c r="L3" s="24"/>
      <c r="M3" s="24"/>
    </row>
    <row r="4" spans="1:13">
      <c r="A4" s="24"/>
      <c r="B4" s="1203"/>
      <c r="C4" s="1203"/>
      <c r="D4" s="1205"/>
      <c r="E4" s="1203"/>
      <c r="F4" s="178" t="s">
        <v>164</v>
      </c>
      <c r="G4" s="12"/>
      <c r="H4" s="102"/>
      <c r="I4" s="24"/>
      <c r="J4" s="24"/>
      <c r="K4" s="24"/>
      <c r="L4" s="24"/>
      <c r="M4" s="24"/>
    </row>
    <row r="5" spans="1:13" ht="16.5" thickBot="1">
      <c r="A5" s="25"/>
      <c r="B5" s="151">
        <v>1</v>
      </c>
      <c r="C5" s="152" t="s">
        <v>165</v>
      </c>
      <c r="D5" s="153" t="s">
        <v>599</v>
      </c>
      <c r="E5" s="154" t="s">
        <v>600</v>
      </c>
      <c r="F5" s="154" t="s">
        <v>162</v>
      </c>
      <c r="G5" s="167" t="s">
        <v>167</v>
      </c>
      <c r="H5" s="102"/>
      <c r="I5" s="670">
        <v>1</v>
      </c>
      <c r="J5" s="671" t="s">
        <v>165</v>
      </c>
      <c r="K5" s="672" t="s">
        <v>166</v>
      </c>
      <c r="L5" s="672" t="s">
        <v>167</v>
      </c>
      <c r="M5" s="24"/>
    </row>
    <row r="6" spans="1:13" ht="16.5" customHeight="1" thickBot="1">
      <c r="A6" s="25"/>
      <c r="B6" s="151">
        <v>2</v>
      </c>
      <c r="C6" s="152" t="s">
        <v>168</v>
      </c>
      <c r="D6" s="153" t="s">
        <v>601</v>
      </c>
      <c r="E6" s="154" t="s">
        <v>602</v>
      </c>
      <c r="F6" s="154" t="s">
        <v>205</v>
      </c>
      <c r="G6" s="167" t="s">
        <v>170</v>
      </c>
      <c r="H6" s="102"/>
      <c r="I6" s="670">
        <v>2</v>
      </c>
      <c r="J6" s="671" t="s">
        <v>168</v>
      </c>
      <c r="K6" s="672" t="s">
        <v>169</v>
      </c>
      <c r="L6" s="672" t="s">
        <v>170</v>
      </c>
      <c r="M6" s="24"/>
    </row>
    <row r="7" spans="1:13" ht="16.5" customHeight="1" thickBot="1">
      <c r="A7" s="25"/>
      <c r="B7" s="151">
        <v>3</v>
      </c>
      <c r="C7" s="152" t="s">
        <v>96</v>
      </c>
      <c r="D7" s="153" t="s">
        <v>605</v>
      </c>
      <c r="E7" s="154" t="s">
        <v>603</v>
      </c>
      <c r="F7" s="154" t="s">
        <v>221</v>
      </c>
      <c r="G7" s="167" t="s">
        <v>172</v>
      </c>
      <c r="H7" s="102"/>
      <c r="I7" s="670">
        <v>3</v>
      </c>
      <c r="J7" s="671" t="s">
        <v>91</v>
      </c>
      <c r="K7" s="672" t="s">
        <v>171</v>
      </c>
      <c r="L7" s="672" t="s">
        <v>172</v>
      </c>
      <c r="M7" s="24"/>
    </row>
    <row r="8" spans="1:13" ht="16.5" thickBot="1">
      <c r="A8" s="25"/>
      <c r="B8" s="155">
        <v>4</v>
      </c>
      <c r="C8" s="152" t="s">
        <v>173</v>
      </c>
      <c r="D8" s="153">
        <v>4100</v>
      </c>
      <c r="E8" s="154">
        <v>4097</v>
      </c>
      <c r="F8" s="154" t="s">
        <v>206</v>
      </c>
      <c r="G8" s="167" t="s">
        <v>175</v>
      </c>
      <c r="H8" s="102"/>
      <c r="I8" s="670">
        <v>4</v>
      </c>
      <c r="J8" s="671" t="s">
        <v>173</v>
      </c>
      <c r="K8" s="672" t="s">
        <v>174</v>
      </c>
      <c r="L8" s="672" t="s">
        <v>175</v>
      </c>
      <c r="M8" s="24"/>
    </row>
    <row r="9" spans="1:13" ht="16.5" customHeight="1" thickBot="1">
      <c r="A9" s="25"/>
      <c r="B9" s="153">
        <v>5</v>
      </c>
      <c r="C9" s="156" t="s">
        <v>101</v>
      </c>
      <c r="D9" s="157" t="s">
        <v>606</v>
      </c>
      <c r="E9" s="158" t="s">
        <v>607</v>
      </c>
      <c r="F9" s="158" t="s">
        <v>207</v>
      </c>
      <c r="G9" s="167" t="s">
        <v>177</v>
      </c>
      <c r="H9" s="102"/>
      <c r="I9" s="670">
        <v>5</v>
      </c>
      <c r="J9" s="671" t="s">
        <v>101</v>
      </c>
      <c r="K9" s="672" t="s">
        <v>176</v>
      </c>
      <c r="L9" s="672" t="s">
        <v>177</v>
      </c>
      <c r="M9" s="24"/>
    </row>
    <row r="10" spans="1:13" ht="16.5" customHeight="1" thickBot="1">
      <c r="A10" s="25"/>
      <c r="B10" s="155">
        <v>6</v>
      </c>
      <c r="C10" s="152" t="s">
        <v>44</v>
      </c>
      <c r="D10" s="153" t="s">
        <v>604</v>
      </c>
      <c r="E10" s="158" t="s">
        <v>830</v>
      </c>
      <c r="F10" s="158" t="s">
        <v>208</v>
      </c>
      <c r="G10" s="167" t="s">
        <v>179</v>
      </c>
      <c r="H10" s="102"/>
      <c r="I10" s="670">
        <v>6</v>
      </c>
      <c r="J10" s="671" t="s">
        <v>44</v>
      </c>
      <c r="K10" s="672" t="s">
        <v>178</v>
      </c>
      <c r="L10" s="672" t="s">
        <v>179</v>
      </c>
      <c r="M10" s="24"/>
    </row>
    <row r="11" spans="1:13" ht="16.5" customHeight="1" thickBot="1">
      <c r="A11" s="25"/>
      <c r="B11" s="153">
        <v>7</v>
      </c>
      <c r="C11" s="156" t="s">
        <v>180</v>
      </c>
      <c r="D11" s="153" t="s">
        <v>608</v>
      </c>
      <c r="E11" s="154" t="s">
        <v>609</v>
      </c>
      <c r="F11" s="154" t="s">
        <v>201</v>
      </c>
      <c r="G11" s="167" t="s">
        <v>182</v>
      </c>
      <c r="H11" s="24"/>
      <c r="I11" s="670">
        <v>7</v>
      </c>
      <c r="J11" s="671" t="s">
        <v>180</v>
      </c>
      <c r="K11" s="672" t="s">
        <v>181</v>
      </c>
      <c r="L11" s="672" t="s">
        <v>182</v>
      </c>
      <c r="M11" s="24"/>
    </row>
    <row r="12" spans="1:13" ht="16.5" thickBot="1">
      <c r="A12" s="25"/>
      <c r="B12" s="153">
        <v>8</v>
      </c>
      <c r="C12" s="159" t="s">
        <v>112</v>
      </c>
      <c r="D12" s="160" t="s">
        <v>610</v>
      </c>
      <c r="E12" s="157" t="s">
        <v>611</v>
      </c>
      <c r="F12" s="157" t="s">
        <v>202</v>
      </c>
      <c r="G12" s="167" t="s">
        <v>184</v>
      </c>
      <c r="H12" s="24"/>
      <c r="I12" s="670">
        <v>8</v>
      </c>
      <c r="J12" s="671" t="s">
        <v>112</v>
      </c>
      <c r="K12" s="672" t="s">
        <v>183</v>
      </c>
      <c r="L12" s="672" t="s">
        <v>184</v>
      </c>
      <c r="M12" s="24"/>
    </row>
    <row r="13" spans="1:13" ht="16.5" thickBot="1">
      <c r="A13" s="25"/>
      <c r="B13" s="155">
        <v>9</v>
      </c>
      <c r="C13" s="152" t="s">
        <v>185</v>
      </c>
      <c r="D13" s="669">
        <v>0.92849999999999999</v>
      </c>
      <c r="E13" s="150" t="s">
        <v>187</v>
      </c>
      <c r="F13" s="150" t="s">
        <v>187</v>
      </c>
      <c r="G13" s="171"/>
      <c r="H13" s="24"/>
      <c r="I13" s="670">
        <v>9</v>
      </c>
      <c r="J13" s="671" t="s">
        <v>185</v>
      </c>
      <c r="K13" s="673">
        <v>1.04</v>
      </c>
      <c r="L13" s="674"/>
      <c r="M13" s="24"/>
    </row>
    <row r="14" spans="1:13" ht="16.5" thickBot="1">
      <c r="A14" s="25"/>
      <c r="B14" s="153">
        <v>10</v>
      </c>
      <c r="C14" s="161" t="s">
        <v>186</v>
      </c>
      <c r="D14" s="162">
        <v>0.64</v>
      </c>
      <c r="E14" s="163">
        <v>0.72</v>
      </c>
      <c r="F14" s="163">
        <v>0.62</v>
      </c>
      <c r="G14" s="172">
        <v>0.6</v>
      </c>
      <c r="H14" s="24"/>
      <c r="I14" s="670">
        <v>10</v>
      </c>
      <c r="J14" s="671" t="s">
        <v>186</v>
      </c>
      <c r="K14" s="672" t="s">
        <v>187</v>
      </c>
      <c r="L14" s="673">
        <v>0.6</v>
      </c>
      <c r="M14" s="24"/>
    </row>
    <row r="15" spans="1:13" ht="36.75" customHeight="1" thickBot="1">
      <c r="A15" s="24"/>
      <c r="B15" s="153">
        <v>11</v>
      </c>
      <c r="C15" s="164" t="s">
        <v>117</v>
      </c>
      <c r="D15" s="849" t="s">
        <v>224</v>
      </c>
      <c r="E15" s="167" t="s">
        <v>619</v>
      </c>
      <c r="F15" s="153" t="s">
        <v>224</v>
      </c>
      <c r="G15" s="173" t="s">
        <v>188</v>
      </c>
      <c r="H15" s="24"/>
      <c r="I15" s="670">
        <v>11</v>
      </c>
      <c r="J15" s="671" t="s">
        <v>117</v>
      </c>
      <c r="K15" s="672" t="s">
        <v>187</v>
      </c>
      <c r="L15" s="672" t="s">
        <v>188</v>
      </c>
      <c r="M15" s="24"/>
    </row>
    <row r="16" spans="1:13" ht="16.5" customHeight="1" thickBot="1">
      <c r="A16" s="24"/>
      <c r="B16" s="153">
        <v>12</v>
      </c>
      <c r="C16" s="164" t="s">
        <v>189</v>
      </c>
      <c r="D16" s="850" t="s">
        <v>190</v>
      </c>
      <c r="E16" s="165" t="s">
        <v>617</v>
      </c>
      <c r="F16" s="165" t="s">
        <v>191</v>
      </c>
      <c r="G16" s="174" t="s">
        <v>191</v>
      </c>
      <c r="H16" s="24"/>
      <c r="I16" s="670">
        <v>12</v>
      </c>
      <c r="J16" s="671" t="s">
        <v>189</v>
      </c>
      <c r="K16" s="672" t="s">
        <v>190</v>
      </c>
      <c r="L16" s="672" t="s">
        <v>191</v>
      </c>
      <c r="M16" s="24"/>
    </row>
    <row r="17" spans="1:13" ht="16.5" thickBot="1">
      <c r="A17" s="24"/>
      <c r="B17" s="153">
        <v>13</v>
      </c>
      <c r="C17" s="164" t="s">
        <v>192</v>
      </c>
      <c r="D17" s="180" t="s">
        <v>613</v>
      </c>
      <c r="E17" s="153" t="s">
        <v>612</v>
      </c>
      <c r="F17" s="153" t="s">
        <v>203</v>
      </c>
      <c r="G17" s="175" t="s">
        <v>193</v>
      </c>
      <c r="H17" s="24"/>
      <c r="I17" s="670">
        <v>13</v>
      </c>
      <c r="J17" s="671" t="s">
        <v>192</v>
      </c>
      <c r="K17" s="672" t="s">
        <v>193</v>
      </c>
      <c r="L17" s="672" t="s">
        <v>193</v>
      </c>
      <c r="M17" s="24"/>
    </row>
    <row r="18" spans="1:13" ht="16.5" thickBot="1">
      <c r="A18" s="24"/>
      <c r="B18" s="153">
        <v>14</v>
      </c>
      <c r="C18" s="164" t="s">
        <v>194</v>
      </c>
      <c r="D18" s="154" t="s">
        <v>187</v>
      </c>
      <c r="E18" s="166" t="s">
        <v>614</v>
      </c>
      <c r="F18" s="166" t="s">
        <v>222</v>
      </c>
      <c r="G18" s="175" t="s">
        <v>195</v>
      </c>
      <c r="H18" s="24"/>
      <c r="I18" s="670">
        <v>14</v>
      </c>
      <c r="J18" s="671" t="s">
        <v>194</v>
      </c>
      <c r="K18" s="672" t="s">
        <v>187</v>
      </c>
      <c r="L18" s="672" t="s">
        <v>195</v>
      </c>
      <c r="M18" s="24"/>
    </row>
    <row r="19" spans="1:13" ht="16.5" customHeight="1" thickBot="1">
      <c r="A19" s="24"/>
      <c r="B19" s="153">
        <v>15</v>
      </c>
      <c r="C19" s="164" t="s">
        <v>196</v>
      </c>
      <c r="D19" s="154" t="s">
        <v>187</v>
      </c>
      <c r="E19" s="153" t="s">
        <v>615</v>
      </c>
      <c r="F19" s="153" t="s">
        <v>223</v>
      </c>
      <c r="G19" s="175" t="s">
        <v>197</v>
      </c>
      <c r="H19" s="24"/>
      <c r="I19" s="670">
        <v>15</v>
      </c>
      <c r="J19" s="671" t="s">
        <v>196</v>
      </c>
      <c r="K19" s="672" t="s">
        <v>187</v>
      </c>
      <c r="L19" s="672" t="s">
        <v>197</v>
      </c>
      <c r="M19" s="24"/>
    </row>
    <row r="20" spans="1:13" ht="53.25" customHeight="1" thickBot="1">
      <c r="A20" s="24"/>
      <c r="B20" s="167">
        <v>16</v>
      </c>
      <c r="C20" s="168" t="s">
        <v>157</v>
      </c>
      <c r="D20" s="169" t="s">
        <v>187</v>
      </c>
      <c r="E20" s="167" t="s">
        <v>618</v>
      </c>
      <c r="F20" s="167" t="s">
        <v>220</v>
      </c>
      <c r="G20" s="176" t="s">
        <v>220</v>
      </c>
      <c r="H20" s="24"/>
      <c r="I20" s="675">
        <v>16</v>
      </c>
      <c r="J20" s="676" t="s">
        <v>157</v>
      </c>
      <c r="K20" s="677" t="s">
        <v>187</v>
      </c>
      <c r="L20" s="677" t="s">
        <v>198</v>
      </c>
      <c r="M20" s="24"/>
    </row>
    <row r="21" spans="1:13" ht="16.5" customHeight="1" thickBot="1">
      <c r="A21" s="24"/>
      <c r="B21" s="153">
        <v>17</v>
      </c>
      <c r="C21" s="164" t="s">
        <v>158</v>
      </c>
      <c r="D21" s="154" t="s">
        <v>187</v>
      </c>
      <c r="E21" s="153" t="s">
        <v>616</v>
      </c>
      <c r="F21" s="153" t="s">
        <v>160</v>
      </c>
      <c r="G21" s="177" t="s">
        <v>199</v>
      </c>
      <c r="H21" s="24"/>
      <c r="I21" s="670">
        <v>17</v>
      </c>
      <c r="J21" s="671" t="s">
        <v>158</v>
      </c>
      <c r="K21" s="672" t="s">
        <v>187</v>
      </c>
      <c r="L21" s="672" t="s">
        <v>199</v>
      </c>
      <c r="M21" s="24"/>
    </row>
    <row r="22" spans="1:13" ht="15" customHeight="1" thickBot="1">
      <c r="A22" s="24"/>
      <c r="B22" s="684">
        <v>18</v>
      </c>
      <c r="C22" s="685" t="s">
        <v>620</v>
      </c>
      <c r="D22" s="154" t="s">
        <v>187</v>
      </c>
      <c r="E22" s="684" t="s">
        <v>621</v>
      </c>
      <c r="F22" s="682" t="s">
        <v>204</v>
      </c>
      <c r="G22" s="683" t="s">
        <v>200</v>
      </c>
      <c r="H22" s="102"/>
      <c r="I22" s="672">
        <v>18</v>
      </c>
      <c r="J22" s="671" t="s">
        <v>159</v>
      </c>
      <c r="K22" s="672" t="s">
        <v>187</v>
      </c>
      <c r="L22" s="678" t="s">
        <v>200</v>
      </c>
      <c r="M22" s="102"/>
    </row>
    <row r="23" spans="1:13">
      <c r="B23" s="679"/>
      <c r="C23" s="680"/>
      <c r="D23" s="679"/>
      <c r="E23" s="681"/>
      <c r="M23" s="12"/>
    </row>
  </sheetData>
  <mergeCells count="4">
    <mergeCell ref="B3:B4"/>
    <mergeCell ref="C3:C4"/>
    <mergeCell ref="D3:D4"/>
    <mergeCell ref="E3:E4"/>
  </mergeCells>
  <pageMargins left="0.7" right="0.7" top="0.75" bottom="0.75"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C32A6-85DB-44E6-BB63-24DA7C579B28}">
  <sheetPr>
    <pageSetUpPr fitToPage="1"/>
  </sheetPr>
  <dimension ref="A1:AO101"/>
  <sheetViews>
    <sheetView view="pageLayout" topLeftCell="A55" zoomScale="55" zoomScaleNormal="115" zoomScaleSheetLayoutView="80" zoomScalePageLayoutView="55" workbookViewId="0">
      <selection activeCell="B88" sqref="B88:B91"/>
    </sheetView>
  </sheetViews>
  <sheetFormatPr defaultRowHeight="15" customHeight="1"/>
  <cols>
    <col min="1" max="1" width="26.42578125" style="854" customWidth="1"/>
    <col min="2" max="2" width="23.7109375" style="886" customWidth="1"/>
    <col min="3" max="3" width="8" style="887" customWidth="1"/>
    <col min="4" max="4" width="9" style="887" customWidth="1"/>
    <col min="5" max="5" width="8.85546875" style="887" customWidth="1"/>
    <col min="6" max="6" width="2.7109375" style="887" customWidth="1"/>
    <col min="7" max="7" width="7.7109375" style="887" customWidth="1"/>
    <col min="8" max="8" width="2.85546875" style="887" customWidth="1"/>
    <col min="9" max="9" width="16.85546875" style="886" customWidth="1"/>
    <col min="10" max="10" width="2.7109375" style="854" customWidth="1"/>
    <col min="11" max="11" width="17.5703125" style="854" customWidth="1"/>
    <col min="12" max="12" width="29.7109375" style="854" customWidth="1"/>
    <col min="13" max="13" width="25.7109375" style="854" customWidth="1"/>
    <col min="14" max="14" width="23.7109375" style="854" customWidth="1"/>
    <col min="15" max="256" width="9.140625" style="854"/>
    <col min="257" max="257" width="26.42578125" style="854" customWidth="1"/>
    <col min="258" max="258" width="22" style="854" customWidth="1"/>
    <col min="259" max="259" width="8" style="854" customWidth="1"/>
    <col min="260" max="260" width="9" style="854" customWidth="1"/>
    <col min="261" max="261" width="8.85546875" style="854" customWidth="1"/>
    <col min="262" max="262" width="2.7109375" style="854" customWidth="1"/>
    <col min="263" max="263" width="7.7109375" style="854" customWidth="1"/>
    <col min="264" max="264" width="2.85546875" style="854" customWidth="1"/>
    <col min="265" max="265" width="16.85546875" style="854" customWidth="1"/>
    <col min="266" max="266" width="2.7109375" style="854" customWidth="1"/>
    <col min="267" max="267" width="17.5703125" style="854" customWidth="1"/>
    <col min="268" max="268" width="29.7109375" style="854" customWidth="1"/>
    <col min="269" max="269" width="25.7109375" style="854" customWidth="1"/>
    <col min="270" max="270" width="23.7109375" style="854" customWidth="1"/>
    <col min="271" max="512" width="9.140625" style="854"/>
    <col min="513" max="513" width="26.42578125" style="854" customWidth="1"/>
    <col min="514" max="514" width="22" style="854" customWidth="1"/>
    <col min="515" max="515" width="8" style="854" customWidth="1"/>
    <col min="516" max="516" width="9" style="854" customWidth="1"/>
    <col min="517" max="517" width="8.85546875" style="854" customWidth="1"/>
    <col min="518" max="518" width="2.7109375" style="854" customWidth="1"/>
    <col min="519" max="519" width="7.7109375" style="854" customWidth="1"/>
    <col min="520" max="520" width="2.85546875" style="854" customWidth="1"/>
    <col min="521" max="521" width="16.85546875" style="854" customWidth="1"/>
    <col min="522" max="522" width="2.7109375" style="854" customWidth="1"/>
    <col min="523" max="523" width="17.5703125" style="854" customWidth="1"/>
    <col min="524" max="524" width="29.7109375" style="854" customWidth="1"/>
    <col min="525" max="525" width="25.7109375" style="854" customWidth="1"/>
    <col min="526" max="526" width="23.7109375" style="854" customWidth="1"/>
    <col min="527" max="768" width="9.140625" style="854"/>
    <col min="769" max="769" width="26.42578125" style="854" customWidth="1"/>
    <col min="770" max="770" width="22" style="854" customWidth="1"/>
    <col min="771" max="771" width="8" style="854" customWidth="1"/>
    <col min="772" max="772" width="9" style="854" customWidth="1"/>
    <col min="773" max="773" width="8.85546875" style="854" customWidth="1"/>
    <col min="774" max="774" width="2.7109375" style="854" customWidth="1"/>
    <col min="775" max="775" width="7.7109375" style="854" customWidth="1"/>
    <col min="776" max="776" width="2.85546875" style="854" customWidth="1"/>
    <col min="777" max="777" width="16.85546875" style="854" customWidth="1"/>
    <col min="778" max="778" width="2.7109375" style="854" customWidth="1"/>
    <col min="779" max="779" width="17.5703125" style="854" customWidth="1"/>
    <col min="780" max="780" width="29.7109375" style="854" customWidth="1"/>
    <col min="781" max="781" width="25.7109375" style="854" customWidth="1"/>
    <col min="782" max="782" width="23.7109375" style="854" customWidth="1"/>
    <col min="783" max="1024" width="9.140625" style="854"/>
    <col min="1025" max="1025" width="26.42578125" style="854" customWidth="1"/>
    <col min="1026" max="1026" width="22" style="854" customWidth="1"/>
    <col min="1027" max="1027" width="8" style="854" customWidth="1"/>
    <col min="1028" max="1028" width="9" style="854" customWidth="1"/>
    <col min="1029" max="1029" width="8.85546875" style="854" customWidth="1"/>
    <col min="1030" max="1030" width="2.7109375" style="854" customWidth="1"/>
    <col min="1031" max="1031" width="7.7109375" style="854" customWidth="1"/>
    <col min="1032" max="1032" width="2.85546875" style="854" customWidth="1"/>
    <col min="1033" max="1033" width="16.85546875" style="854" customWidth="1"/>
    <col min="1034" max="1034" width="2.7109375" style="854" customWidth="1"/>
    <col min="1035" max="1035" width="17.5703125" style="854" customWidth="1"/>
    <col min="1036" max="1036" width="29.7109375" style="854" customWidth="1"/>
    <col min="1037" max="1037" width="25.7109375" style="854" customWidth="1"/>
    <col min="1038" max="1038" width="23.7109375" style="854" customWidth="1"/>
    <col min="1039" max="1280" width="9.140625" style="854"/>
    <col min="1281" max="1281" width="26.42578125" style="854" customWidth="1"/>
    <col min="1282" max="1282" width="22" style="854" customWidth="1"/>
    <col min="1283" max="1283" width="8" style="854" customWidth="1"/>
    <col min="1284" max="1284" width="9" style="854" customWidth="1"/>
    <col min="1285" max="1285" width="8.85546875" style="854" customWidth="1"/>
    <col min="1286" max="1286" width="2.7109375" style="854" customWidth="1"/>
    <col min="1287" max="1287" width="7.7109375" style="854" customWidth="1"/>
    <col min="1288" max="1288" width="2.85546875" style="854" customWidth="1"/>
    <col min="1289" max="1289" width="16.85546875" style="854" customWidth="1"/>
    <col min="1290" max="1290" width="2.7109375" style="854" customWidth="1"/>
    <col min="1291" max="1291" width="17.5703125" style="854" customWidth="1"/>
    <col min="1292" max="1292" width="29.7109375" style="854" customWidth="1"/>
    <col min="1293" max="1293" width="25.7109375" style="854" customWidth="1"/>
    <col min="1294" max="1294" width="23.7109375" style="854" customWidth="1"/>
    <col min="1295" max="1536" width="9.140625" style="854"/>
    <col min="1537" max="1537" width="26.42578125" style="854" customWidth="1"/>
    <col min="1538" max="1538" width="22" style="854" customWidth="1"/>
    <col min="1539" max="1539" width="8" style="854" customWidth="1"/>
    <col min="1540" max="1540" width="9" style="854" customWidth="1"/>
    <col min="1541" max="1541" width="8.85546875" style="854" customWidth="1"/>
    <col min="1542" max="1542" width="2.7109375" style="854" customWidth="1"/>
    <col min="1543" max="1543" width="7.7109375" style="854" customWidth="1"/>
    <col min="1544" max="1544" width="2.85546875" style="854" customWidth="1"/>
    <col min="1545" max="1545" width="16.85546875" style="854" customWidth="1"/>
    <col min="1546" max="1546" width="2.7109375" style="854" customWidth="1"/>
    <col min="1547" max="1547" width="17.5703125" style="854" customWidth="1"/>
    <col min="1548" max="1548" width="29.7109375" style="854" customWidth="1"/>
    <col min="1549" max="1549" width="25.7109375" style="854" customWidth="1"/>
    <col min="1550" max="1550" width="23.7109375" style="854" customWidth="1"/>
    <col min="1551" max="1792" width="9.140625" style="854"/>
    <col min="1793" max="1793" width="26.42578125" style="854" customWidth="1"/>
    <col min="1794" max="1794" width="22" style="854" customWidth="1"/>
    <col min="1795" max="1795" width="8" style="854" customWidth="1"/>
    <col min="1796" max="1796" width="9" style="854" customWidth="1"/>
    <col min="1797" max="1797" width="8.85546875" style="854" customWidth="1"/>
    <col min="1798" max="1798" width="2.7109375" style="854" customWidth="1"/>
    <col min="1799" max="1799" width="7.7109375" style="854" customWidth="1"/>
    <col min="1800" max="1800" width="2.85546875" style="854" customWidth="1"/>
    <col min="1801" max="1801" width="16.85546875" style="854" customWidth="1"/>
    <col min="1802" max="1802" width="2.7109375" style="854" customWidth="1"/>
    <col min="1803" max="1803" width="17.5703125" style="854" customWidth="1"/>
    <col min="1804" max="1804" width="29.7109375" style="854" customWidth="1"/>
    <col min="1805" max="1805" width="25.7109375" style="854" customWidth="1"/>
    <col min="1806" max="1806" width="23.7109375" style="854" customWidth="1"/>
    <col min="1807" max="2048" width="9.140625" style="854"/>
    <col min="2049" max="2049" width="26.42578125" style="854" customWidth="1"/>
    <col min="2050" max="2050" width="22" style="854" customWidth="1"/>
    <col min="2051" max="2051" width="8" style="854" customWidth="1"/>
    <col min="2052" max="2052" width="9" style="854" customWidth="1"/>
    <col min="2053" max="2053" width="8.85546875" style="854" customWidth="1"/>
    <col min="2054" max="2054" width="2.7109375" style="854" customWidth="1"/>
    <col min="2055" max="2055" width="7.7109375" style="854" customWidth="1"/>
    <col min="2056" max="2056" width="2.85546875" style="854" customWidth="1"/>
    <col min="2057" max="2057" width="16.85546875" style="854" customWidth="1"/>
    <col min="2058" max="2058" width="2.7109375" style="854" customWidth="1"/>
    <col min="2059" max="2059" width="17.5703125" style="854" customWidth="1"/>
    <col min="2060" max="2060" width="29.7109375" style="854" customWidth="1"/>
    <col min="2061" max="2061" width="25.7109375" style="854" customWidth="1"/>
    <col min="2062" max="2062" width="23.7109375" style="854" customWidth="1"/>
    <col min="2063" max="2304" width="9.140625" style="854"/>
    <col min="2305" max="2305" width="26.42578125" style="854" customWidth="1"/>
    <col min="2306" max="2306" width="22" style="854" customWidth="1"/>
    <col min="2307" max="2307" width="8" style="854" customWidth="1"/>
    <col min="2308" max="2308" width="9" style="854" customWidth="1"/>
    <col min="2309" max="2309" width="8.85546875" style="854" customWidth="1"/>
    <col min="2310" max="2310" width="2.7109375" style="854" customWidth="1"/>
    <col min="2311" max="2311" width="7.7109375" style="854" customWidth="1"/>
    <col min="2312" max="2312" width="2.85546875" style="854" customWidth="1"/>
    <col min="2313" max="2313" width="16.85546875" style="854" customWidth="1"/>
    <col min="2314" max="2314" width="2.7109375" style="854" customWidth="1"/>
    <col min="2315" max="2315" width="17.5703125" style="854" customWidth="1"/>
    <col min="2316" max="2316" width="29.7109375" style="854" customWidth="1"/>
    <col min="2317" max="2317" width="25.7109375" style="854" customWidth="1"/>
    <col min="2318" max="2318" width="23.7109375" style="854" customWidth="1"/>
    <col min="2319" max="2560" width="9.140625" style="854"/>
    <col min="2561" max="2561" width="26.42578125" style="854" customWidth="1"/>
    <col min="2562" max="2562" width="22" style="854" customWidth="1"/>
    <col min="2563" max="2563" width="8" style="854" customWidth="1"/>
    <col min="2564" max="2564" width="9" style="854" customWidth="1"/>
    <col min="2565" max="2565" width="8.85546875" style="854" customWidth="1"/>
    <col min="2566" max="2566" width="2.7109375" style="854" customWidth="1"/>
    <col min="2567" max="2567" width="7.7109375" style="854" customWidth="1"/>
    <col min="2568" max="2568" width="2.85546875" style="854" customWidth="1"/>
    <col min="2569" max="2569" width="16.85546875" style="854" customWidth="1"/>
    <col min="2570" max="2570" width="2.7109375" style="854" customWidth="1"/>
    <col min="2571" max="2571" width="17.5703125" style="854" customWidth="1"/>
    <col min="2572" max="2572" width="29.7109375" style="854" customWidth="1"/>
    <col min="2573" max="2573" width="25.7109375" style="854" customWidth="1"/>
    <col min="2574" max="2574" width="23.7109375" style="854" customWidth="1"/>
    <col min="2575" max="2816" width="9.140625" style="854"/>
    <col min="2817" max="2817" width="26.42578125" style="854" customWidth="1"/>
    <col min="2818" max="2818" width="22" style="854" customWidth="1"/>
    <col min="2819" max="2819" width="8" style="854" customWidth="1"/>
    <col min="2820" max="2820" width="9" style="854" customWidth="1"/>
    <col min="2821" max="2821" width="8.85546875" style="854" customWidth="1"/>
    <col min="2822" max="2822" width="2.7109375" style="854" customWidth="1"/>
    <col min="2823" max="2823" width="7.7109375" style="854" customWidth="1"/>
    <col min="2824" max="2824" width="2.85546875" style="854" customWidth="1"/>
    <col min="2825" max="2825" width="16.85546875" style="854" customWidth="1"/>
    <col min="2826" max="2826" width="2.7109375" style="854" customWidth="1"/>
    <col min="2827" max="2827" width="17.5703125" style="854" customWidth="1"/>
    <col min="2828" max="2828" width="29.7109375" style="854" customWidth="1"/>
    <col min="2829" max="2829" width="25.7109375" style="854" customWidth="1"/>
    <col min="2830" max="2830" width="23.7109375" style="854" customWidth="1"/>
    <col min="2831" max="3072" width="9.140625" style="854"/>
    <col min="3073" max="3073" width="26.42578125" style="854" customWidth="1"/>
    <col min="3074" max="3074" width="22" style="854" customWidth="1"/>
    <col min="3075" max="3075" width="8" style="854" customWidth="1"/>
    <col min="3076" max="3076" width="9" style="854" customWidth="1"/>
    <col min="3077" max="3077" width="8.85546875" style="854" customWidth="1"/>
    <col min="3078" max="3078" width="2.7109375" style="854" customWidth="1"/>
    <col min="3079" max="3079" width="7.7109375" style="854" customWidth="1"/>
    <col min="3080" max="3080" width="2.85546875" style="854" customWidth="1"/>
    <col min="3081" max="3081" width="16.85546875" style="854" customWidth="1"/>
    <col min="3082" max="3082" width="2.7109375" style="854" customWidth="1"/>
    <col min="3083" max="3083" width="17.5703125" style="854" customWidth="1"/>
    <col min="3084" max="3084" width="29.7109375" style="854" customWidth="1"/>
    <col min="3085" max="3085" width="25.7109375" style="854" customWidth="1"/>
    <col min="3086" max="3086" width="23.7109375" style="854" customWidth="1"/>
    <col min="3087" max="3328" width="9.140625" style="854"/>
    <col min="3329" max="3329" width="26.42578125" style="854" customWidth="1"/>
    <col min="3330" max="3330" width="22" style="854" customWidth="1"/>
    <col min="3331" max="3331" width="8" style="854" customWidth="1"/>
    <col min="3332" max="3332" width="9" style="854" customWidth="1"/>
    <col min="3333" max="3333" width="8.85546875" style="854" customWidth="1"/>
    <col min="3334" max="3334" width="2.7109375" style="854" customWidth="1"/>
    <col min="3335" max="3335" width="7.7109375" style="854" customWidth="1"/>
    <col min="3336" max="3336" width="2.85546875" style="854" customWidth="1"/>
    <col min="3337" max="3337" width="16.85546875" style="854" customWidth="1"/>
    <col min="3338" max="3338" width="2.7109375" style="854" customWidth="1"/>
    <col min="3339" max="3339" width="17.5703125" style="854" customWidth="1"/>
    <col min="3340" max="3340" width="29.7109375" style="854" customWidth="1"/>
    <col min="3341" max="3341" width="25.7109375" style="854" customWidth="1"/>
    <col min="3342" max="3342" width="23.7109375" style="854" customWidth="1"/>
    <col min="3343" max="3584" width="9.140625" style="854"/>
    <col min="3585" max="3585" width="26.42578125" style="854" customWidth="1"/>
    <col min="3586" max="3586" width="22" style="854" customWidth="1"/>
    <col min="3587" max="3587" width="8" style="854" customWidth="1"/>
    <col min="3588" max="3588" width="9" style="854" customWidth="1"/>
    <col min="3589" max="3589" width="8.85546875" style="854" customWidth="1"/>
    <col min="3590" max="3590" width="2.7109375" style="854" customWidth="1"/>
    <col min="3591" max="3591" width="7.7109375" style="854" customWidth="1"/>
    <col min="3592" max="3592" width="2.85546875" style="854" customWidth="1"/>
    <col min="3593" max="3593" width="16.85546875" style="854" customWidth="1"/>
    <col min="3594" max="3594" width="2.7109375" style="854" customWidth="1"/>
    <col min="3595" max="3595" width="17.5703125" style="854" customWidth="1"/>
    <col min="3596" max="3596" width="29.7109375" style="854" customWidth="1"/>
    <col min="3597" max="3597" width="25.7109375" style="854" customWidth="1"/>
    <col min="3598" max="3598" width="23.7109375" style="854" customWidth="1"/>
    <col min="3599" max="3840" width="9.140625" style="854"/>
    <col min="3841" max="3841" width="26.42578125" style="854" customWidth="1"/>
    <col min="3842" max="3842" width="22" style="854" customWidth="1"/>
    <col min="3843" max="3843" width="8" style="854" customWidth="1"/>
    <col min="3844" max="3844" width="9" style="854" customWidth="1"/>
    <col min="3845" max="3845" width="8.85546875" style="854" customWidth="1"/>
    <col min="3846" max="3846" width="2.7109375" style="854" customWidth="1"/>
    <col min="3847" max="3847" width="7.7109375" style="854" customWidth="1"/>
    <col min="3848" max="3848" width="2.85546875" style="854" customWidth="1"/>
    <col min="3849" max="3849" width="16.85546875" style="854" customWidth="1"/>
    <col min="3850" max="3850" width="2.7109375" style="854" customWidth="1"/>
    <col min="3851" max="3851" width="17.5703125" style="854" customWidth="1"/>
    <col min="3852" max="3852" width="29.7109375" style="854" customWidth="1"/>
    <col min="3853" max="3853" width="25.7109375" style="854" customWidth="1"/>
    <col min="3854" max="3854" width="23.7109375" style="854" customWidth="1"/>
    <col min="3855" max="4096" width="9.140625" style="854"/>
    <col min="4097" max="4097" width="26.42578125" style="854" customWidth="1"/>
    <col min="4098" max="4098" width="22" style="854" customWidth="1"/>
    <col min="4099" max="4099" width="8" style="854" customWidth="1"/>
    <col min="4100" max="4100" width="9" style="854" customWidth="1"/>
    <col min="4101" max="4101" width="8.85546875" style="854" customWidth="1"/>
    <col min="4102" max="4102" width="2.7109375" style="854" customWidth="1"/>
    <col min="4103" max="4103" width="7.7109375" style="854" customWidth="1"/>
    <col min="4104" max="4104" width="2.85546875" style="854" customWidth="1"/>
    <col min="4105" max="4105" width="16.85546875" style="854" customWidth="1"/>
    <col min="4106" max="4106" width="2.7109375" style="854" customWidth="1"/>
    <col min="4107" max="4107" width="17.5703125" style="854" customWidth="1"/>
    <col min="4108" max="4108" width="29.7109375" style="854" customWidth="1"/>
    <col min="4109" max="4109" width="25.7109375" style="854" customWidth="1"/>
    <col min="4110" max="4110" width="23.7109375" style="854" customWidth="1"/>
    <col min="4111" max="4352" width="9.140625" style="854"/>
    <col min="4353" max="4353" width="26.42578125" style="854" customWidth="1"/>
    <col min="4354" max="4354" width="22" style="854" customWidth="1"/>
    <col min="4355" max="4355" width="8" style="854" customWidth="1"/>
    <col min="4356" max="4356" width="9" style="854" customWidth="1"/>
    <col min="4357" max="4357" width="8.85546875" style="854" customWidth="1"/>
    <col min="4358" max="4358" width="2.7109375" style="854" customWidth="1"/>
    <col min="4359" max="4359" width="7.7109375" style="854" customWidth="1"/>
    <col min="4360" max="4360" width="2.85546875" style="854" customWidth="1"/>
    <col min="4361" max="4361" width="16.85546875" style="854" customWidth="1"/>
    <col min="4362" max="4362" width="2.7109375" style="854" customWidth="1"/>
    <col min="4363" max="4363" width="17.5703125" style="854" customWidth="1"/>
    <col min="4364" max="4364" width="29.7109375" style="854" customWidth="1"/>
    <col min="4365" max="4365" width="25.7109375" style="854" customWidth="1"/>
    <col min="4366" max="4366" width="23.7109375" style="854" customWidth="1"/>
    <col min="4367" max="4608" width="9.140625" style="854"/>
    <col min="4609" max="4609" width="26.42578125" style="854" customWidth="1"/>
    <col min="4610" max="4610" width="22" style="854" customWidth="1"/>
    <col min="4611" max="4611" width="8" style="854" customWidth="1"/>
    <col min="4612" max="4612" width="9" style="854" customWidth="1"/>
    <col min="4613" max="4613" width="8.85546875" style="854" customWidth="1"/>
    <col min="4614" max="4614" width="2.7109375" style="854" customWidth="1"/>
    <col min="4615" max="4615" width="7.7109375" style="854" customWidth="1"/>
    <col min="4616" max="4616" width="2.85546875" style="854" customWidth="1"/>
    <col min="4617" max="4617" width="16.85546875" style="854" customWidth="1"/>
    <col min="4618" max="4618" width="2.7109375" style="854" customWidth="1"/>
    <col min="4619" max="4619" width="17.5703125" style="854" customWidth="1"/>
    <col min="4620" max="4620" width="29.7109375" style="854" customWidth="1"/>
    <col min="4621" max="4621" width="25.7109375" style="854" customWidth="1"/>
    <col min="4622" max="4622" width="23.7109375" style="854" customWidth="1"/>
    <col min="4623" max="4864" width="9.140625" style="854"/>
    <col min="4865" max="4865" width="26.42578125" style="854" customWidth="1"/>
    <col min="4866" max="4866" width="22" style="854" customWidth="1"/>
    <col min="4867" max="4867" width="8" style="854" customWidth="1"/>
    <col min="4868" max="4868" width="9" style="854" customWidth="1"/>
    <col min="4869" max="4869" width="8.85546875" style="854" customWidth="1"/>
    <col min="4870" max="4870" width="2.7109375" style="854" customWidth="1"/>
    <col min="4871" max="4871" width="7.7109375" style="854" customWidth="1"/>
    <col min="4872" max="4872" width="2.85546875" style="854" customWidth="1"/>
    <col min="4873" max="4873" width="16.85546875" style="854" customWidth="1"/>
    <col min="4874" max="4874" width="2.7109375" style="854" customWidth="1"/>
    <col min="4875" max="4875" width="17.5703125" style="854" customWidth="1"/>
    <col min="4876" max="4876" width="29.7109375" style="854" customWidth="1"/>
    <col min="4877" max="4877" width="25.7109375" style="854" customWidth="1"/>
    <col min="4878" max="4878" width="23.7109375" style="854" customWidth="1"/>
    <col min="4879" max="5120" width="9.140625" style="854"/>
    <col min="5121" max="5121" width="26.42578125" style="854" customWidth="1"/>
    <col min="5122" max="5122" width="22" style="854" customWidth="1"/>
    <col min="5123" max="5123" width="8" style="854" customWidth="1"/>
    <col min="5124" max="5124" width="9" style="854" customWidth="1"/>
    <col min="5125" max="5125" width="8.85546875" style="854" customWidth="1"/>
    <col min="5126" max="5126" width="2.7109375" style="854" customWidth="1"/>
    <col min="5127" max="5127" width="7.7109375" style="854" customWidth="1"/>
    <col min="5128" max="5128" width="2.85546875" style="854" customWidth="1"/>
    <col min="5129" max="5129" width="16.85546875" style="854" customWidth="1"/>
    <col min="5130" max="5130" width="2.7109375" style="854" customWidth="1"/>
    <col min="5131" max="5131" width="17.5703125" style="854" customWidth="1"/>
    <col min="5132" max="5132" width="29.7109375" style="854" customWidth="1"/>
    <col min="5133" max="5133" width="25.7109375" style="854" customWidth="1"/>
    <col min="5134" max="5134" width="23.7109375" style="854" customWidth="1"/>
    <col min="5135" max="5376" width="9.140625" style="854"/>
    <col min="5377" max="5377" width="26.42578125" style="854" customWidth="1"/>
    <col min="5378" max="5378" width="22" style="854" customWidth="1"/>
    <col min="5379" max="5379" width="8" style="854" customWidth="1"/>
    <col min="5380" max="5380" width="9" style="854" customWidth="1"/>
    <col min="5381" max="5381" width="8.85546875" style="854" customWidth="1"/>
    <col min="5382" max="5382" width="2.7109375" style="854" customWidth="1"/>
    <col min="5383" max="5383" width="7.7109375" style="854" customWidth="1"/>
    <col min="5384" max="5384" width="2.85546875" style="854" customWidth="1"/>
    <col min="5385" max="5385" width="16.85546875" style="854" customWidth="1"/>
    <col min="5386" max="5386" width="2.7109375" style="854" customWidth="1"/>
    <col min="5387" max="5387" width="17.5703125" style="854" customWidth="1"/>
    <col min="5388" max="5388" width="29.7109375" style="854" customWidth="1"/>
    <col min="5389" max="5389" width="25.7109375" style="854" customWidth="1"/>
    <col min="5390" max="5390" width="23.7109375" style="854" customWidth="1"/>
    <col min="5391" max="5632" width="9.140625" style="854"/>
    <col min="5633" max="5633" width="26.42578125" style="854" customWidth="1"/>
    <col min="5634" max="5634" width="22" style="854" customWidth="1"/>
    <col min="5635" max="5635" width="8" style="854" customWidth="1"/>
    <col min="5636" max="5636" width="9" style="854" customWidth="1"/>
    <col min="5637" max="5637" width="8.85546875" style="854" customWidth="1"/>
    <col min="5638" max="5638" width="2.7109375" style="854" customWidth="1"/>
    <col min="5639" max="5639" width="7.7109375" style="854" customWidth="1"/>
    <col min="5640" max="5640" width="2.85546875" style="854" customWidth="1"/>
    <col min="5641" max="5641" width="16.85546875" style="854" customWidth="1"/>
    <col min="5642" max="5642" width="2.7109375" style="854" customWidth="1"/>
    <col min="5643" max="5643" width="17.5703125" style="854" customWidth="1"/>
    <col min="5644" max="5644" width="29.7109375" style="854" customWidth="1"/>
    <col min="5645" max="5645" width="25.7109375" style="854" customWidth="1"/>
    <col min="5646" max="5646" width="23.7109375" style="854" customWidth="1"/>
    <col min="5647" max="5888" width="9.140625" style="854"/>
    <col min="5889" max="5889" width="26.42578125" style="854" customWidth="1"/>
    <col min="5890" max="5890" width="22" style="854" customWidth="1"/>
    <col min="5891" max="5891" width="8" style="854" customWidth="1"/>
    <col min="5892" max="5892" width="9" style="854" customWidth="1"/>
    <col min="5893" max="5893" width="8.85546875" style="854" customWidth="1"/>
    <col min="5894" max="5894" width="2.7109375" style="854" customWidth="1"/>
    <col min="5895" max="5895" width="7.7109375" style="854" customWidth="1"/>
    <col min="5896" max="5896" width="2.85546875" style="854" customWidth="1"/>
    <col min="5897" max="5897" width="16.85546875" style="854" customWidth="1"/>
    <col min="5898" max="5898" width="2.7109375" style="854" customWidth="1"/>
    <col min="5899" max="5899" width="17.5703125" style="854" customWidth="1"/>
    <col min="5900" max="5900" width="29.7109375" style="854" customWidth="1"/>
    <col min="5901" max="5901" width="25.7109375" style="854" customWidth="1"/>
    <col min="5902" max="5902" width="23.7109375" style="854" customWidth="1"/>
    <col min="5903" max="6144" width="9.140625" style="854"/>
    <col min="6145" max="6145" width="26.42578125" style="854" customWidth="1"/>
    <col min="6146" max="6146" width="22" style="854" customWidth="1"/>
    <col min="6147" max="6147" width="8" style="854" customWidth="1"/>
    <col min="6148" max="6148" width="9" style="854" customWidth="1"/>
    <col min="6149" max="6149" width="8.85546875" style="854" customWidth="1"/>
    <col min="6150" max="6150" width="2.7109375" style="854" customWidth="1"/>
    <col min="6151" max="6151" width="7.7109375" style="854" customWidth="1"/>
    <col min="6152" max="6152" width="2.85546875" style="854" customWidth="1"/>
    <col min="6153" max="6153" width="16.85546875" style="854" customWidth="1"/>
    <col min="6154" max="6154" width="2.7109375" style="854" customWidth="1"/>
    <col min="6155" max="6155" width="17.5703125" style="854" customWidth="1"/>
    <col min="6156" max="6156" width="29.7109375" style="854" customWidth="1"/>
    <col min="6157" max="6157" width="25.7109375" style="854" customWidth="1"/>
    <col min="6158" max="6158" width="23.7109375" style="854" customWidth="1"/>
    <col min="6159" max="6400" width="9.140625" style="854"/>
    <col min="6401" max="6401" width="26.42578125" style="854" customWidth="1"/>
    <col min="6402" max="6402" width="22" style="854" customWidth="1"/>
    <col min="6403" max="6403" width="8" style="854" customWidth="1"/>
    <col min="6404" max="6404" width="9" style="854" customWidth="1"/>
    <col min="6405" max="6405" width="8.85546875" style="854" customWidth="1"/>
    <col min="6406" max="6406" width="2.7109375" style="854" customWidth="1"/>
    <col min="6407" max="6407" width="7.7109375" style="854" customWidth="1"/>
    <col min="6408" max="6408" width="2.85546875" style="854" customWidth="1"/>
    <col min="6409" max="6409" width="16.85546875" style="854" customWidth="1"/>
    <col min="6410" max="6410" width="2.7109375" style="854" customWidth="1"/>
    <col min="6411" max="6411" width="17.5703125" style="854" customWidth="1"/>
    <col min="6412" max="6412" width="29.7109375" style="854" customWidth="1"/>
    <col min="6413" max="6413" width="25.7109375" style="854" customWidth="1"/>
    <col min="6414" max="6414" width="23.7109375" style="854" customWidth="1"/>
    <col min="6415" max="6656" width="9.140625" style="854"/>
    <col min="6657" max="6657" width="26.42578125" style="854" customWidth="1"/>
    <col min="6658" max="6658" width="22" style="854" customWidth="1"/>
    <col min="6659" max="6659" width="8" style="854" customWidth="1"/>
    <col min="6660" max="6660" width="9" style="854" customWidth="1"/>
    <col min="6661" max="6661" width="8.85546875" style="854" customWidth="1"/>
    <col min="6662" max="6662" width="2.7109375" style="854" customWidth="1"/>
    <col min="6663" max="6663" width="7.7109375" style="854" customWidth="1"/>
    <col min="6664" max="6664" width="2.85546875" style="854" customWidth="1"/>
    <col min="6665" max="6665" width="16.85546875" style="854" customWidth="1"/>
    <col min="6666" max="6666" width="2.7109375" style="854" customWidth="1"/>
    <col min="6667" max="6667" width="17.5703125" style="854" customWidth="1"/>
    <col min="6668" max="6668" width="29.7109375" style="854" customWidth="1"/>
    <col min="6669" max="6669" width="25.7109375" style="854" customWidth="1"/>
    <col min="6670" max="6670" width="23.7109375" style="854" customWidth="1"/>
    <col min="6671" max="6912" width="9.140625" style="854"/>
    <col min="6913" max="6913" width="26.42578125" style="854" customWidth="1"/>
    <col min="6914" max="6914" width="22" style="854" customWidth="1"/>
    <col min="6915" max="6915" width="8" style="854" customWidth="1"/>
    <col min="6916" max="6916" width="9" style="854" customWidth="1"/>
    <col min="6917" max="6917" width="8.85546875" style="854" customWidth="1"/>
    <col min="6918" max="6918" width="2.7109375" style="854" customWidth="1"/>
    <col min="6919" max="6919" width="7.7109375" style="854" customWidth="1"/>
    <col min="6920" max="6920" width="2.85546875" style="854" customWidth="1"/>
    <col min="6921" max="6921" width="16.85546875" style="854" customWidth="1"/>
    <col min="6922" max="6922" width="2.7109375" style="854" customWidth="1"/>
    <col min="6923" max="6923" width="17.5703125" style="854" customWidth="1"/>
    <col min="6924" max="6924" width="29.7109375" style="854" customWidth="1"/>
    <col min="6925" max="6925" width="25.7109375" style="854" customWidth="1"/>
    <col min="6926" max="6926" width="23.7109375" style="854" customWidth="1"/>
    <col min="6927" max="7168" width="9.140625" style="854"/>
    <col min="7169" max="7169" width="26.42578125" style="854" customWidth="1"/>
    <col min="7170" max="7170" width="22" style="854" customWidth="1"/>
    <col min="7171" max="7171" width="8" style="854" customWidth="1"/>
    <col min="7172" max="7172" width="9" style="854" customWidth="1"/>
    <col min="7173" max="7173" width="8.85546875" style="854" customWidth="1"/>
    <col min="7174" max="7174" width="2.7109375" style="854" customWidth="1"/>
    <col min="7175" max="7175" width="7.7109375" style="854" customWidth="1"/>
    <col min="7176" max="7176" width="2.85546875" style="854" customWidth="1"/>
    <col min="7177" max="7177" width="16.85546875" style="854" customWidth="1"/>
    <col min="7178" max="7178" width="2.7109375" style="854" customWidth="1"/>
    <col min="7179" max="7179" width="17.5703125" style="854" customWidth="1"/>
    <col min="7180" max="7180" width="29.7109375" style="854" customWidth="1"/>
    <col min="7181" max="7181" width="25.7109375" style="854" customWidth="1"/>
    <col min="7182" max="7182" width="23.7109375" style="854" customWidth="1"/>
    <col min="7183" max="7424" width="9.140625" style="854"/>
    <col min="7425" max="7425" width="26.42578125" style="854" customWidth="1"/>
    <col min="7426" max="7426" width="22" style="854" customWidth="1"/>
    <col min="7427" max="7427" width="8" style="854" customWidth="1"/>
    <col min="7428" max="7428" width="9" style="854" customWidth="1"/>
    <col min="7429" max="7429" width="8.85546875" style="854" customWidth="1"/>
    <col min="7430" max="7430" width="2.7109375" style="854" customWidth="1"/>
    <col min="7431" max="7431" width="7.7109375" style="854" customWidth="1"/>
    <col min="7432" max="7432" width="2.85546875" style="854" customWidth="1"/>
    <col min="7433" max="7433" width="16.85546875" style="854" customWidth="1"/>
    <col min="7434" max="7434" width="2.7109375" style="854" customWidth="1"/>
    <col min="7435" max="7435" width="17.5703125" style="854" customWidth="1"/>
    <col min="7436" max="7436" width="29.7109375" style="854" customWidth="1"/>
    <col min="7437" max="7437" width="25.7109375" style="854" customWidth="1"/>
    <col min="7438" max="7438" width="23.7109375" style="854" customWidth="1"/>
    <col min="7439" max="7680" width="9.140625" style="854"/>
    <col min="7681" max="7681" width="26.42578125" style="854" customWidth="1"/>
    <col min="7682" max="7682" width="22" style="854" customWidth="1"/>
    <col min="7683" max="7683" width="8" style="854" customWidth="1"/>
    <col min="7684" max="7684" width="9" style="854" customWidth="1"/>
    <col min="7685" max="7685" width="8.85546875" style="854" customWidth="1"/>
    <col min="7686" max="7686" width="2.7109375" style="854" customWidth="1"/>
    <col min="7687" max="7687" width="7.7109375" style="854" customWidth="1"/>
    <col min="7688" max="7688" width="2.85546875" style="854" customWidth="1"/>
    <col min="7689" max="7689" width="16.85546875" style="854" customWidth="1"/>
    <col min="7690" max="7690" width="2.7109375" style="854" customWidth="1"/>
    <col min="7691" max="7691" width="17.5703125" style="854" customWidth="1"/>
    <col min="7692" max="7692" width="29.7109375" style="854" customWidth="1"/>
    <col min="7693" max="7693" width="25.7109375" style="854" customWidth="1"/>
    <col min="7694" max="7694" width="23.7109375" style="854" customWidth="1"/>
    <col min="7695" max="7936" width="9.140625" style="854"/>
    <col min="7937" max="7937" width="26.42578125" style="854" customWidth="1"/>
    <col min="7938" max="7938" width="22" style="854" customWidth="1"/>
    <col min="7939" max="7939" width="8" style="854" customWidth="1"/>
    <col min="7940" max="7940" width="9" style="854" customWidth="1"/>
    <col min="7941" max="7941" width="8.85546875" style="854" customWidth="1"/>
    <col min="7942" max="7942" width="2.7109375" style="854" customWidth="1"/>
    <col min="7943" max="7943" width="7.7109375" style="854" customWidth="1"/>
    <col min="7944" max="7944" width="2.85546875" style="854" customWidth="1"/>
    <col min="7945" max="7945" width="16.85546875" style="854" customWidth="1"/>
    <col min="7946" max="7946" width="2.7109375" style="854" customWidth="1"/>
    <col min="7947" max="7947" width="17.5703125" style="854" customWidth="1"/>
    <col min="7948" max="7948" width="29.7109375" style="854" customWidth="1"/>
    <col min="7949" max="7949" width="25.7109375" style="854" customWidth="1"/>
    <col min="7950" max="7950" width="23.7109375" style="854" customWidth="1"/>
    <col min="7951" max="8192" width="9.140625" style="854"/>
    <col min="8193" max="8193" width="26.42578125" style="854" customWidth="1"/>
    <col min="8194" max="8194" width="22" style="854" customWidth="1"/>
    <col min="8195" max="8195" width="8" style="854" customWidth="1"/>
    <col min="8196" max="8196" width="9" style="854" customWidth="1"/>
    <col min="8197" max="8197" width="8.85546875" style="854" customWidth="1"/>
    <col min="8198" max="8198" width="2.7109375" style="854" customWidth="1"/>
    <col min="8199" max="8199" width="7.7109375" style="854" customWidth="1"/>
    <col min="8200" max="8200" width="2.85546875" style="854" customWidth="1"/>
    <col min="8201" max="8201" width="16.85546875" style="854" customWidth="1"/>
    <col min="8202" max="8202" width="2.7109375" style="854" customWidth="1"/>
    <col min="8203" max="8203" width="17.5703125" style="854" customWidth="1"/>
    <col min="8204" max="8204" width="29.7109375" style="854" customWidth="1"/>
    <col min="8205" max="8205" width="25.7109375" style="854" customWidth="1"/>
    <col min="8206" max="8206" width="23.7109375" style="854" customWidth="1"/>
    <col min="8207" max="8448" width="9.140625" style="854"/>
    <col min="8449" max="8449" width="26.42578125" style="854" customWidth="1"/>
    <col min="8450" max="8450" width="22" style="854" customWidth="1"/>
    <col min="8451" max="8451" width="8" style="854" customWidth="1"/>
    <col min="8452" max="8452" width="9" style="854" customWidth="1"/>
    <col min="8453" max="8453" width="8.85546875" style="854" customWidth="1"/>
    <col min="8454" max="8454" width="2.7109375" style="854" customWidth="1"/>
    <col min="8455" max="8455" width="7.7109375" style="854" customWidth="1"/>
    <col min="8456" max="8456" width="2.85546875" style="854" customWidth="1"/>
    <col min="8457" max="8457" width="16.85546875" style="854" customWidth="1"/>
    <col min="8458" max="8458" width="2.7109375" style="854" customWidth="1"/>
    <col min="8459" max="8459" width="17.5703125" style="854" customWidth="1"/>
    <col min="8460" max="8460" width="29.7109375" style="854" customWidth="1"/>
    <col min="8461" max="8461" width="25.7109375" style="854" customWidth="1"/>
    <col min="8462" max="8462" width="23.7109375" style="854" customWidth="1"/>
    <col min="8463" max="8704" width="9.140625" style="854"/>
    <col min="8705" max="8705" width="26.42578125" style="854" customWidth="1"/>
    <col min="8706" max="8706" width="22" style="854" customWidth="1"/>
    <col min="8707" max="8707" width="8" style="854" customWidth="1"/>
    <col min="8708" max="8708" width="9" style="854" customWidth="1"/>
    <col min="8709" max="8709" width="8.85546875" style="854" customWidth="1"/>
    <col min="8710" max="8710" width="2.7109375" style="854" customWidth="1"/>
    <col min="8711" max="8711" width="7.7109375" style="854" customWidth="1"/>
    <col min="8712" max="8712" width="2.85546875" style="854" customWidth="1"/>
    <col min="8713" max="8713" width="16.85546875" style="854" customWidth="1"/>
    <col min="8714" max="8714" width="2.7109375" style="854" customWidth="1"/>
    <col min="8715" max="8715" width="17.5703125" style="854" customWidth="1"/>
    <col min="8716" max="8716" width="29.7109375" style="854" customWidth="1"/>
    <col min="8717" max="8717" width="25.7109375" style="854" customWidth="1"/>
    <col min="8718" max="8718" width="23.7109375" style="854" customWidth="1"/>
    <col min="8719" max="8960" width="9.140625" style="854"/>
    <col min="8961" max="8961" width="26.42578125" style="854" customWidth="1"/>
    <col min="8962" max="8962" width="22" style="854" customWidth="1"/>
    <col min="8963" max="8963" width="8" style="854" customWidth="1"/>
    <col min="8964" max="8964" width="9" style="854" customWidth="1"/>
    <col min="8965" max="8965" width="8.85546875" style="854" customWidth="1"/>
    <col min="8966" max="8966" width="2.7109375" style="854" customWidth="1"/>
    <col min="8967" max="8967" width="7.7109375" style="854" customWidth="1"/>
    <col min="8968" max="8968" width="2.85546875" style="854" customWidth="1"/>
    <col min="8969" max="8969" width="16.85546875" style="854" customWidth="1"/>
    <col min="8970" max="8970" width="2.7109375" style="854" customWidth="1"/>
    <col min="8971" max="8971" width="17.5703125" style="854" customWidth="1"/>
    <col min="8972" max="8972" width="29.7109375" style="854" customWidth="1"/>
    <col min="8973" max="8973" width="25.7109375" style="854" customWidth="1"/>
    <col min="8974" max="8974" width="23.7109375" style="854" customWidth="1"/>
    <col min="8975" max="9216" width="9.140625" style="854"/>
    <col min="9217" max="9217" width="26.42578125" style="854" customWidth="1"/>
    <col min="9218" max="9218" width="22" style="854" customWidth="1"/>
    <col min="9219" max="9219" width="8" style="854" customWidth="1"/>
    <col min="9220" max="9220" width="9" style="854" customWidth="1"/>
    <col min="9221" max="9221" width="8.85546875" style="854" customWidth="1"/>
    <col min="9222" max="9222" width="2.7109375" style="854" customWidth="1"/>
    <col min="9223" max="9223" width="7.7109375" style="854" customWidth="1"/>
    <col min="9224" max="9224" width="2.85546875" style="854" customWidth="1"/>
    <col min="9225" max="9225" width="16.85546875" style="854" customWidth="1"/>
    <col min="9226" max="9226" width="2.7109375" style="854" customWidth="1"/>
    <col min="9227" max="9227" width="17.5703125" style="854" customWidth="1"/>
    <col min="9228" max="9228" width="29.7109375" style="854" customWidth="1"/>
    <col min="9229" max="9229" width="25.7109375" style="854" customWidth="1"/>
    <col min="9230" max="9230" width="23.7109375" style="854" customWidth="1"/>
    <col min="9231" max="9472" width="9.140625" style="854"/>
    <col min="9473" max="9473" width="26.42578125" style="854" customWidth="1"/>
    <col min="9474" max="9474" width="22" style="854" customWidth="1"/>
    <col min="9475" max="9475" width="8" style="854" customWidth="1"/>
    <col min="9476" max="9476" width="9" style="854" customWidth="1"/>
    <col min="9477" max="9477" width="8.85546875" style="854" customWidth="1"/>
    <col min="9478" max="9478" width="2.7109375" style="854" customWidth="1"/>
    <col min="9479" max="9479" width="7.7109375" style="854" customWidth="1"/>
    <col min="9480" max="9480" width="2.85546875" style="854" customWidth="1"/>
    <col min="9481" max="9481" width="16.85546875" style="854" customWidth="1"/>
    <col min="9482" max="9482" width="2.7109375" style="854" customWidth="1"/>
    <col min="9483" max="9483" width="17.5703125" style="854" customWidth="1"/>
    <col min="9484" max="9484" width="29.7109375" style="854" customWidth="1"/>
    <col min="9485" max="9485" width="25.7109375" style="854" customWidth="1"/>
    <col min="9486" max="9486" width="23.7109375" style="854" customWidth="1"/>
    <col min="9487" max="9728" width="9.140625" style="854"/>
    <col min="9729" max="9729" width="26.42578125" style="854" customWidth="1"/>
    <col min="9730" max="9730" width="22" style="854" customWidth="1"/>
    <col min="9731" max="9731" width="8" style="854" customWidth="1"/>
    <col min="9732" max="9732" width="9" style="854" customWidth="1"/>
    <col min="9733" max="9733" width="8.85546875" style="854" customWidth="1"/>
    <col min="9734" max="9734" width="2.7109375" style="854" customWidth="1"/>
    <col min="9735" max="9735" width="7.7109375" style="854" customWidth="1"/>
    <col min="9736" max="9736" width="2.85546875" style="854" customWidth="1"/>
    <col min="9737" max="9737" width="16.85546875" style="854" customWidth="1"/>
    <col min="9738" max="9738" width="2.7109375" style="854" customWidth="1"/>
    <col min="9739" max="9739" width="17.5703125" style="854" customWidth="1"/>
    <col min="9740" max="9740" width="29.7109375" style="854" customWidth="1"/>
    <col min="9741" max="9741" width="25.7109375" style="854" customWidth="1"/>
    <col min="9742" max="9742" width="23.7109375" style="854" customWidth="1"/>
    <col min="9743" max="9984" width="9.140625" style="854"/>
    <col min="9985" max="9985" width="26.42578125" style="854" customWidth="1"/>
    <col min="9986" max="9986" width="22" style="854" customWidth="1"/>
    <col min="9987" max="9987" width="8" style="854" customWidth="1"/>
    <col min="9988" max="9988" width="9" style="854" customWidth="1"/>
    <col min="9989" max="9989" width="8.85546875" style="854" customWidth="1"/>
    <col min="9990" max="9990" width="2.7109375" style="854" customWidth="1"/>
    <col min="9991" max="9991" width="7.7109375" style="854" customWidth="1"/>
    <col min="9992" max="9992" width="2.85546875" style="854" customWidth="1"/>
    <col min="9993" max="9993" width="16.85546875" style="854" customWidth="1"/>
    <col min="9994" max="9994" width="2.7109375" style="854" customWidth="1"/>
    <col min="9995" max="9995" width="17.5703125" style="854" customWidth="1"/>
    <col min="9996" max="9996" width="29.7109375" style="854" customWidth="1"/>
    <col min="9997" max="9997" width="25.7109375" style="854" customWidth="1"/>
    <col min="9998" max="9998" width="23.7109375" style="854" customWidth="1"/>
    <col min="9999" max="10240" width="9.140625" style="854"/>
    <col min="10241" max="10241" width="26.42578125" style="854" customWidth="1"/>
    <col min="10242" max="10242" width="22" style="854" customWidth="1"/>
    <col min="10243" max="10243" width="8" style="854" customWidth="1"/>
    <col min="10244" max="10244" width="9" style="854" customWidth="1"/>
    <col min="10245" max="10245" width="8.85546875" style="854" customWidth="1"/>
    <col min="10246" max="10246" width="2.7109375" style="854" customWidth="1"/>
    <col min="10247" max="10247" width="7.7109375" style="854" customWidth="1"/>
    <col min="10248" max="10248" width="2.85546875" style="854" customWidth="1"/>
    <col min="10249" max="10249" width="16.85546875" style="854" customWidth="1"/>
    <col min="10250" max="10250" width="2.7109375" style="854" customWidth="1"/>
    <col min="10251" max="10251" width="17.5703125" style="854" customWidth="1"/>
    <col min="10252" max="10252" width="29.7109375" style="854" customWidth="1"/>
    <col min="10253" max="10253" width="25.7109375" style="854" customWidth="1"/>
    <col min="10254" max="10254" width="23.7109375" style="854" customWidth="1"/>
    <col min="10255" max="10496" width="9.140625" style="854"/>
    <col min="10497" max="10497" width="26.42578125" style="854" customWidth="1"/>
    <col min="10498" max="10498" width="22" style="854" customWidth="1"/>
    <col min="10499" max="10499" width="8" style="854" customWidth="1"/>
    <col min="10500" max="10500" width="9" style="854" customWidth="1"/>
    <col min="10501" max="10501" width="8.85546875" style="854" customWidth="1"/>
    <col min="10502" max="10502" width="2.7109375" style="854" customWidth="1"/>
    <col min="10503" max="10503" width="7.7109375" style="854" customWidth="1"/>
    <col min="10504" max="10504" width="2.85546875" style="854" customWidth="1"/>
    <col min="10505" max="10505" width="16.85546875" style="854" customWidth="1"/>
    <col min="10506" max="10506" width="2.7109375" style="854" customWidth="1"/>
    <col min="10507" max="10507" width="17.5703125" style="854" customWidth="1"/>
    <col min="10508" max="10508" width="29.7109375" style="854" customWidth="1"/>
    <col min="10509" max="10509" width="25.7109375" style="854" customWidth="1"/>
    <col min="10510" max="10510" width="23.7109375" style="854" customWidth="1"/>
    <col min="10511" max="10752" width="9.140625" style="854"/>
    <col min="10753" max="10753" width="26.42578125" style="854" customWidth="1"/>
    <col min="10754" max="10754" width="22" style="854" customWidth="1"/>
    <col min="10755" max="10755" width="8" style="854" customWidth="1"/>
    <col min="10756" max="10756" width="9" style="854" customWidth="1"/>
    <col min="10757" max="10757" width="8.85546875" style="854" customWidth="1"/>
    <col min="10758" max="10758" width="2.7109375" style="854" customWidth="1"/>
    <col min="10759" max="10759" width="7.7109375" style="854" customWidth="1"/>
    <col min="10760" max="10760" width="2.85546875" style="854" customWidth="1"/>
    <col min="10761" max="10761" width="16.85546875" style="854" customWidth="1"/>
    <col min="10762" max="10762" width="2.7109375" style="854" customWidth="1"/>
    <col min="10763" max="10763" width="17.5703125" style="854" customWidth="1"/>
    <col min="10764" max="10764" width="29.7109375" style="854" customWidth="1"/>
    <col min="10765" max="10765" width="25.7109375" style="854" customWidth="1"/>
    <col min="10766" max="10766" width="23.7109375" style="854" customWidth="1"/>
    <col min="10767" max="11008" width="9.140625" style="854"/>
    <col min="11009" max="11009" width="26.42578125" style="854" customWidth="1"/>
    <col min="11010" max="11010" width="22" style="854" customWidth="1"/>
    <col min="11011" max="11011" width="8" style="854" customWidth="1"/>
    <col min="11012" max="11012" width="9" style="854" customWidth="1"/>
    <col min="11013" max="11013" width="8.85546875" style="854" customWidth="1"/>
    <col min="11014" max="11014" width="2.7109375" style="854" customWidth="1"/>
    <col min="11015" max="11015" width="7.7109375" style="854" customWidth="1"/>
    <col min="11016" max="11016" width="2.85546875" style="854" customWidth="1"/>
    <col min="11017" max="11017" width="16.85546875" style="854" customWidth="1"/>
    <col min="11018" max="11018" width="2.7109375" style="854" customWidth="1"/>
    <col min="11019" max="11019" width="17.5703125" style="854" customWidth="1"/>
    <col min="11020" max="11020" width="29.7109375" style="854" customWidth="1"/>
    <col min="11021" max="11021" width="25.7109375" style="854" customWidth="1"/>
    <col min="11022" max="11022" width="23.7109375" style="854" customWidth="1"/>
    <col min="11023" max="11264" width="9.140625" style="854"/>
    <col min="11265" max="11265" width="26.42578125" style="854" customWidth="1"/>
    <col min="11266" max="11266" width="22" style="854" customWidth="1"/>
    <col min="11267" max="11267" width="8" style="854" customWidth="1"/>
    <col min="11268" max="11268" width="9" style="854" customWidth="1"/>
    <col min="11269" max="11269" width="8.85546875" style="854" customWidth="1"/>
    <col min="11270" max="11270" width="2.7109375" style="854" customWidth="1"/>
    <col min="11271" max="11271" width="7.7109375" style="854" customWidth="1"/>
    <col min="11272" max="11272" width="2.85546875" style="854" customWidth="1"/>
    <col min="11273" max="11273" width="16.85546875" style="854" customWidth="1"/>
    <col min="11274" max="11274" width="2.7109375" style="854" customWidth="1"/>
    <col min="11275" max="11275" width="17.5703125" style="854" customWidth="1"/>
    <col min="11276" max="11276" width="29.7109375" style="854" customWidth="1"/>
    <col min="11277" max="11277" width="25.7109375" style="854" customWidth="1"/>
    <col min="11278" max="11278" width="23.7109375" style="854" customWidth="1"/>
    <col min="11279" max="11520" width="9.140625" style="854"/>
    <col min="11521" max="11521" width="26.42578125" style="854" customWidth="1"/>
    <col min="11522" max="11522" width="22" style="854" customWidth="1"/>
    <col min="11523" max="11523" width="8" style="854" customWidth="1"/>
    <col min="11524" max="11524" width="9" style="854" customWidth="1"/>
    <col min="11525" max="11525" width="8.85546875" style="854" customWidth="1"/>
    <col min="11526" max="11526" width="2.7109375" style="854" customWidth="1"/>
    <col min="11527" max="11527" width="7.7109375" style="854" customWidth="1"/>
    <col min="11528" max="11528" width="2.85546875" style="854" customWidth="1"/>
    <col min="11529" max="11529" width="16.85546875" style="854" customWidth="1"/>
    <col min="11530" max="11530" width="2.7109375" style="854" customWidth="1"/>
    <col min="11531" max="11531" width="17.5703125" style="854" customWidth="1"/>
    <col min="11532" max="11532" width="29.7109375" style="854" customWidth="1"/>
    <col min="11533" max="11533" width="25.7109375" style="854" customWidth="1"/>
    <col min="11534" max="11534" width="23.7109375" style="854" customWidth="1"/>
    <col min="11535" max="11776" width="9.140625" style="854"/>
    <col min="11777" max="11777" width="26.42578125" style="854" customWidth="1"/>
    <col min="11778" max="11778" width="22" style="854" customWidth="1"/>
    <col min="11779" max="11779" width="8" style="854" customWidth="1"/>
    <col min="11780" max="11780" width="9" style="854" customWidth="1"/>
    <col min="11781" max="11781" width="8.85546875" style="854" customWidth="1"/>
    <col min="11782" max="11782" width="2.7109375" style="854" customWidth="1"/>
    <col min="11783" max="11783" width="7.7109375" style="854" customWidth="1"/>
    <col min="11784" max="11784" width="2.85546875" style="854" customWidth="1"/>
    <col min="11785" max="11785" width="16.85546875" style="854" customWidth="1"/>
    <col min="11786" max="11786" width="2.7109375" style="854" customWidth="1"/>
    <col min="11787" max="11787" width="17.5703125" style="854" customWidth="1"/>
    <col min="11788" max="11788" width="29.7109375" style="854" customWidth="1"/>
    <col min="11789" max="11789" width="25.7109375" style="854" customWidth="1"/>
    <col min="11790" max="11790" width="23.7109375" style="854" customWidth="1"/>
    <col min="11791" max="12032" width="9.140625" style="854"/>
    <col min="12033" max="12033" width="26.42578125" style="854" customWidth="1"/>
    <col min="12034" max="12034" width="22" style="854" customWidth="1"/>
    <col min="12035" max="12035" width="8" style="854" customWidth="1"/>
    <col min="12036" max="12036" width="9" style="854" customWidth="1"/>
    <col min="12037" max="12037" width="8.85546875" style="854" customWidth="1"/>
    <col min="12038" max="12038" width="2.7109375" style="854" customWidth="1"/>
    <col min="12039" max="12039" width="7.7109375" style="854" customWidth="1"/>
    <col min="12040" max="12040" width="2.85546875" style="854" customWidth="1"/>
    <col min="12041" max="12041" width="16.85546875" style="854" customWidth="1"/>
    <col min="12042" max="12042" width="2.7109375" style="854" customWidth="1"/>
    <col min="12043" max="12043" width="17.5703125" style="854" customWidth="1"/>
    <col min="12044" max="12044" width="29.7109375" style="854" customWidth="1"/>
    <col min="12045" max="12045" width="25.7109375" style="854" customWidth="1"/>
    <col min="12046" max="12046" width="23.7109375" style="854" customWidth="1"/>
    <col min="12047" max="12288" width="9.140625" style="854"/>
    <col min="12289" max="12289" width="26.42578125" style="854" customWidth="1"/>
    <col min="12290" max="12290" width="22" style="854" customWidth="1"/>
    <col min="12291" max="12291" width="8" style="854" customWidth="1"/>
    <col min="12292" max="12292" width="9" style="854" customWidth="1"/>
    <col min="12293" max="12293" width="8.85546875" style="854" customWidth="1"/>
    <col min="12294" max="12294" width="2.7109375" style="854" customWidth="1"/>
    <col min="12295" max="12295" width="7.7109375" style="854" customWidth="1"/>
    <col min="12296" max="12296" width="2.85546875" style="854" customWidth="1"/>
    <col min="12297" max="12297" width="16.85546875" style="854" customWidth="1"/>
    <col min="12298" max="12298" width="2.7109375" style="854" customWidth="1"/>
    <col min="12299" max="12299" width="17.5703125" style="854" customWidth="1"/>
    <col min="12300" max="12300" width="29.7109375" style="854" customWidth="1"/>
    <col min="12301" max="12301" width="25.7109375" style="854" customWidth="1"/>
    <col min="12302" max="12302" width="23.7109375" style="854" customWidth="1"/>
    <col min="12303" max="12544" width="9.140625" style="854"/>
    <col min="12545" max="12545" width="26.42578125" style="854" customWidth="1"/>
    <col min="12546" max="12546" width="22" style="854" customWidth="1"/>
    <col min="12547" max="12547" width="8" style="854" customWidth="1"/>
    <col min="12548" max="12548" width="9" style="854" customWidth="1"/>
    <col min="12549" max="12549" width="8.85546875" style="854" customWidth="1"/>
    <col min="12550" max="12550" width="2.7109375" style="854" customWidth="1"/>
    <col min="12551" max="12551" width="7.7109375" style="854" customWidth="1"/>
    <col min="12552" max="12552" width="2.85546875" style="854" customWidth="1"/>
    <col min="12553" max="12553" width="16.85546875" style="854" customWidth="1"/>
    <col min="12554" max="12554" width="2.7109375" style="854" customWidth="1"/>
    <col min="12555" max="12555" width="17.5703125" style="854" customWidth="1"/>
    <col min="12556" max="12556" width="29.7109375" style="854" customWidth="1"/>
    <col min="12557" max="12557" width="25.7109375" style="854" customWidth="1"/>
    <col min="12558" max="12558" width="23.7109375" style="854" customWidth="1"/>
    <col min="12559" max="12800" width="9.140625" style="854"/>
    <col min="12801" max="12801" width="26.42578125" style="854" customWidth="1"/>
    <col min="12802" max="12802" width="22" style="854" customWidth="1"/>
    <col min="12803" max="12803" width="8" style="854" customWidth="1"/>
    <col min="12804" max="12804" width="9" style="854" customWidth="1"/>
    <col min="12805" max="12805" width="8.85546875" style="854" customWidth="1"/>
    <col min="12806" max="12806" width="2.7109375" style="854" customWidth="1"/>
    <col min="12807" max="12807" width="7.7109375" style="854" customWidth="1"/>
    <col min="12808" max="12808" width="2.85546875" style="854" customWidth="1"/>
    <col min="12809" max="12809" width="16.85546875" style="854" customWidth="1"/>
    <col min="12810" max="12810" width="2.7109375" style="854" customWidth="1"/>
    <col min="12811" max="12811" width="17.5703125" style="854" customWidth="1"/>
    <col min="12812" max="12812" width="29.7109375" style="854" customWidth="1"/>
    <col min="12813" max="12813" width="25.7109375" style="854" customWidth="1"/>
    <col min="12814" max="12814" width="23.7109375" style="854" customWidth="1"/>
    <col min="12815" max="13056" width="9.140625" style="854"/>
    <col min="13057" max="13057" width="26.42578125" style="854" customWidth="1"/>
    <col min="13058" max="13058" width="22" style="854" customWidth="1"/>
    <col min="13059" max="13059" width="8" style="854" customWidth="1"/>
    <col min="13060" max="13060" width="9" style="854" customWidth="1"/>
    <col min="13061" max="13061" width="8.85546875" style="854" customWidth="1"/>
    <col min="13062" max="13062" width="2.7109375" style="854" customWidth="1"/>
    <col min="13063" max="13063" width="7.7109375" style="854" customWidth="1"/>
    <col min="13064" max="13064" width="2.85546875" style="854" customWidth="1"/>
    <col min="13065" max="13065" width="16.85546875" style="854" customWidth="1"/>
    <col min="13066" max="13066" width="2.7109375" style="854" customWidth="1"/>
    <col min="13067" max="13067" width="17.5703125" style="854" customWidth="1"/>
    <col min="13068" max="13068" width="29.7109375" style="854" customWidth="1"/>
    <col min="13069" max="13069" width="25.7109375" style="854" customWidth="1"/>
    <col min="13070" max="13070" width="23.7109375" style="854" customWidth="1"/>
    <col min="13071" max="13312" width="9.140625" style="854"/>
    <col min="13313" max="13313" width="26.42578125" style="854" customWidth="1"/>
    <col min="13314" max="13314" width="22" style="854" customWidth="1"/>
    <col min="13315" max="13315" width="8" style="854" customWidth="1"/>
    <col min="13316" max="13316" width="9" style="854" customWidth="1"/>
    <col min="13317" max="13317" width="8.85546875" style="854" customWidth="1"/>
    <col min="13318" max="13318" width="2.7109375" style="854" customWidth="1"/>
    <col min="13319" max="13319" width="7.7109375" style="854" customWidth="1"/>
    <col min="13320" max="13320" width="2.85546875" style="854" customWidth="1"/>
    <col min="13321" max="13321" width="16.85546875" style="854" customWidth="1"/>
    <col min="13322" max="13322" width="2.7109375" style="854" customWidth="1"/>
    <col min="13323" max="13323" width="17.5703125" style="854" customWidth="1"/>
    <col min="13324" max="13324" width="29.7109375" style="854" customWidth="1"/>
    <col min="13325" max="13325" width="25.7109375" style="854" customWidth="1"/>
    <col min="13326" max="13326" width="23.7109375" style="854" customWidth="1"/>
    <col min="13327" max="13568" width="9.140625" style="854"/>
    <col min="13569" max="13569" width="26.42578125" style="854" customWidth="1"/>
    <col min="13570" max="13570" width="22" style="854" customWidth="1"/>
    <col min="13571" max="13571" width="8" style="854" customWidth="1"/>
    <col min="13572" max="13572" width="9" style="854" customWidth="1"/>
    <col min="13573" max="13573" width="8.85546875" style="854" customWidth="1"/>
    <col min="13574" max="13574" width="2.7109375" style="854" customWidth="1"/>
    <col min="13575" max="13575" width="7.7109375" style="854" customWidth="1"/>
    <col min="13576" max="13576" width="2.85546875" style="854" customWidth="1"/>
    <col min="13577" max="13577" width="16.85546875" style="854" customWidth="1"/>
    <col min="13578" max="13578" width="2.7109375" style="854" customWidth="1"/>
    <col min="13579" max="13579" width="17.5703125" style="854" customWidth="1"/>
    <col min="13580" max="13580" width="29.7109375" style="854" customWidth="1"/>
    <col min="13581" max="13581" width="25.7109375" style="854" customWidth="1"/>
    <col min="13582" max="13582" width="23.7109375" style="854" customWidth="1"/>
    <col min="13583" max="13824" width="9.140625" style="854"/>
    <col min="13825" max="13825" width="26.42578125" style="854" customWidth="1"/>
    <col min="13826" max="13826" width="22" style="854" customWidth="1"/>
    <col min="13827" max="13827" width="8" style="854" customWidth="1"/>
    <col min="13828" max="13828" width="9" style="854" customWidth="1"/>
    <col min="13829" max="13829" width="8.85546875" style="854" customWidth="1"/>
    <col min="13830" max="13830" width="2.7109375" style="854" customWidth="1"/>
    <col min="13831" max="13831" width="7.7109375" style="854" customWidth="1"/>
    <col min="13832" max="13832" width="2.85546875" style="854" customWidth="1"/>
    <col min="13833" max="13833" width="16.85546875" style="854" customWidth="1"/>
    <col min="13834" max="13834" width="2.7109375" style="854" customWidth="1"/>
    <col min="13835" max="13835" width="17.5703125" style="854" customWidth="1"/>
    <col min="13836" max="13836" width="29.7109375" style="854" customWidth="1"/>
    <col min="13837" max="13837" width="25.7109375" style="854" customWidth="1"/>
    <col min="13838" max="13838" width="23.7109375" style="854" customWidth="1"/>
    <col min="13839" max="14080" width="9.140625" style="854"/>
    <col min="14081" max="14081" width="26.42578125" style="854" customWidth="1"/>
    <col min="14082" max="14082" width="22" style="854" customWidth="1"/>
    <col min="14083" max="14083" width="8" style="854" customWidth="1"/>
    <col min="14084" max="14084" width="9" style="854" customWidth="1"/>
    <col min="14085" max="14085" width="8.85546875" style="854" customWidth="1"/>
    <col min="14086" max="14086" width="2.7109375" style="854" customWidth="1"/>
    <col min="14087" max="14087" width="7.7109375" style="854" customWidth="1"/>
    <col min="14088" max="14088" width="2.85546875" style="854" customWidth="1"/>
    <col min="14089" max="14089" width="16.85546875" style="854" customWidth="1"/>
    <col min="14090" max="14090" width="2.7109375" style="854" customWidth="1"/>
    <col min="14091" max="14091" width="17.5703125" style="854" customWidth="1"/>
    <col min="14092" max="14092" width="29.7109375" style="854" customWidth="1"/>
    <col min="14093" max="14093" width="25.7109375" style="854" customWidth="1"/>
    <col min="14094" max="14094" width="23.7109375" style="854" customWidth="1"/>
    <col min="14095" max="14336" width="9.140625" style="854"/>
    <col min="14337" max="14337" width="26.42578125" style="854" customWidth="1"/>
    <col min="14338" max="14338" width="22" style="854" customWidth="1"/>
    <col min="14339" max="14339" width="8" style="854" customWidth="1"/>
    <col min="14340" max="14340" width="9" style="854" customWidth="1"/>
    <col min="14341" max="14341" width="8.85546875" style="854" customWidth="1"/>
    <col min="14342" max="14342" width="2.7109375" style="854" customWidth="1"/>
    <col min="14343" max="14343" width="7.7109375" style="854" customWidth="1"/>
    <col min="14344" max="14344" width="2.85546875" style="854" customWidth="1"/>
    <col min="14345" max="14345" width="16.85546875" style="854" customWidth="1"/>
    <col min="14346" max="14346" width="2.7109375" style="854" customWidth="1"/>
    <col min="14347" max="14347" width="17.5703125" style="854" customWidth="1"/>
    <col min="14348" max="14348" width="29.7109375" style="854" customWidth="1"/>
    <col min="14349" max="14349" width="25.7109375" style="854" customWidth="1"/>
    <col min="14350" max="14350" width="23.7109375" style="854" customWidth="1"/>
    <col min="14351" max="14592" width="9.140625" style="854"/>
    <col min="14593" max="14593" width="26.42578125" style="854" customWidth="1"/>
    <col min="14594" max="14594" width="22" style="854" customWidth="1"/>
    <col min="14595" max="14595" width="8" style="854" customWidth="1"/>
    <col min="14596" max="14596" width="9" style="854" customWidth="1"/>
    <col min="14597" max="14597" width="8.85546875" style="854" customWidth="1"/>
    <col min="14598" max="14598" width="2.7109375" style="854" customWidth="1"/>
    <col min="14599" max="14599" width="7.7109375" style="854" customWidth="1"/>
    <col min="14600" max="14600" width="2.85546875" style="854" customWidth="1"/>
    <col min="14601" max="14601" width="16.85546875" style="854" customWidth="1"/>
    <col min="14602" max="14602" width="2.7109375" style="854" customWidth="1"/>
    <col min="14603" max="14603" width="17.5703125" style="854" customWidth="1"/>
    <col min="14604" max="14604" width="29.7109375" style="854" customWidth="1"/>
    <col min="14605" max="14605" width="25.7109375" style="854" customWidth="1"/>
    <col min="14606" max="14606" width="23.7109375" style="854" customWidth="1"/>
    <col min="14607" max="14848" width="9.140625" style="854"/>
    <col min="14849" max="14849" width="26.42578125" style="854" customWidth="1"/>
    <col min="14850" max="14850" width="22" style="854" customWidth="1"/>
    <col min="14851" max="14851" width="8" style="854" customWidth="1"/>
    <col min="14852" max="14852" width="9" style="854" customWidth="1"/>
    <col min="14853" max="14853" width="8.85546875" style="854" customWidth="1"/>
    <col min="14854" max="14854" width="2.7109375" style="854" customWidth="1"/>
    <col min="14855" max="14855" width="7.7109375" style="854" customWidth="1"/>
    <col min="14856" max="14856" width="2.85546875" style="854" customWidth="1"/>
    <col min="14857" max="14857" width="16.85546875" style="854" customWidth="1"/>
    <col min="14858" max="14858" width="2.7109375" style="854" customWidth="1"/>
    <col min="14859" max="14859" width="17.5703125" style="854" customWidth="1"/>
    <col min="14860" max="14860" width="29.7109375" style="854" customWidth="1"/>
    <col min="14861" max="14861" width="25.7109375" style="854" customWidth="1"/>
    <col min="14862" max="14862" width="23.7109375" style="854" customWidth="1"/>
    <col min="14863" max="15104" width="9.140625" style="854"/>
    <col min="15105" max="15105" width="26.42578125" style="854" customWidth="1"/>
    <col min="15106" max="15106" width="22" style="854" customWidth="1"/>
    <col min="15107" max="15107" width="8" style="854" customWidth="1"/>
    <col min="15108" max="15108" width="9" style="854" customWidth="1"/>
    <col min="15109" max="15109" width="8.85546875" style="854" customWidth="1"/>
    <col min="15110" max="15110" width="2.7109375" style="854" customWidth="1"/>
    <col min="15111" max="15111" width="7.7109375" style="854" customWidth="1"/>
    <col min="15112" max="15112" width="2.85546875" style="854" customWidth="1"/>
    <col min="15113" max="15113" width="16.85546875" style="854" customWidth="1"/>
    <col min="15114" max="15114" width="2.7109375" style="854" customWidth="1"/>
    <col min="15115" max="15115" width="17.5703125" style="854" customWidth="1"/>
    <col min="15116" max="15116" width="29.7109375" style="854" customWidth="1"/>
    <col min="15117" max="15117" width="25.7109375" style="854" customWidth="1"/>
    <col min="15118" max="15118" width="23.7109375" style="854" customWidth="1"/>
    <col min="15119" max="15360" width="9.140625" style="854"/>
    <col min="15361" max="15361" width="26.42578125" style="854" customWidth="1"/>
    <col min="15362" max="15362" width="22" style="854" customWidth="1"/>
    <col min="15363" max="15363" width="8" style="854" customWidth="1"/>
    <col min="15364" max="15364" width="9" style="854" customWidth="1"/>
    <col min="15365" max="15365" width="8.85546875" style="854" customWidth="1"/>
    <col min="15366" max="15366" width="2.7109375" style="854" customWidth="1"/>
    <col min="15367" max="15367" width="7.7109375" style="854" customWidth="1"/>
    <col min="15368" max="15368" width="2.85546875" style="854" customWidth="1"/>
    <col min="15369" max="15369" width="16.85546875" style="854" customWidth="1"/>
    <col min="15370" max="15370" width="2.7109375" style="854" customWidth="1"/>
    <col min="15371" max="15371" width="17.5703125" style="854" customWidth="1"/>
    <col min="15372" max="15372" width="29.7109375" style="854" customWidth="1"/>
    <col min="15373" max="15373" width="25.7109375" style="854" customWidth="1"/>
    <col min="15374" max="15374" width="23.7109375" style="854" customWidth="1"/>
    <col min="15375" max="15616" width="9.140625" style="854"/>
    <col min="15617" max="15617" width="26.42578125" style="854" customWidth="1"/>
    <col min="15618" max="15618" width="22" style="854" customWidth="1"/>
    <col min="15619" max="15619" width="8" style="854" customWidth="1"/>
    <col min="15620" max="15620" width="9" style="854" customWidth="1"/>
    <col min="15621" max="15621" width="8.85546875" style="854" customWidth="1"/>
    <col min="15622" max="15622" width="2.7109375" style="854" customWidth="1"/>
    <col min="15623" max="15623" width="7.7109375" style="854" customWidth="1"/>
    <col min="15624" max="15624" width="2.85546875" style="854" customWidth="1"/>
    <col min="15625" max="15625" width="16.85546875" style="854" customWidth="1"/>
    <col min="15626" max="15626" width="2.7109375" style="854" customWidth="1"/>
    <col min="15627" max="15627" width="17.5703125" style="854" customWidth="1"/>
    <col min="15628" max="15628" width="29.7109375" style="854" customWidth="1"/>
    <col min="15629" max="15629" width="25.7109375" style="854" customWidth="1"/>
    <col min="15630" max="15630" width="23.7109375" style="854" customWidth="1"/>
    <col min="15631" max="15872" width="9.140625" style="854"/>
    <col min="15873" max="15873" width="26.42578125" style="854" customWidth="1"/>
    <col min="15874" max="15874" width="22" style="854" customWidth="1"/>
    <col min="15875" max="15875" width="8" style="854" customWidth="1"/>
    <col min="15876" max="15876" width="9" style="854" customWidth="1"/>
    <col min="15877" max="15877" width="8.85546875" style="854" customWidth="1"/>
    <col min="15878" max="15878" width="2.7109375" style="854" customWidth="1"/>
    <col min="15879" max="15879" width="7.7109375" style="854" customWidth="1"/>
    <col min="15880" max="15880" width="2.85546875" style="854" customWidth="1"/>
    <col min="15881" max="15881" width="16.85546875" style="854" customWidth="1"/>
    <col min="15882" max="15882" width="2.7109375" style="854" customWidth="1"/>
    <col min="15883" max="15883" width="17.5703125" style="854" customWidth="1"/>
    <col min="15884" max="15884" width="29.7109375" style="854" customWidth="1"/>
    <col min="15885" max="15885" width="25.7109375" style="854" customWidth="1"/>
    <col min="15886" max="15886" width="23.7109375" style="854" customWidth="1"/>
    <col min="15887" max="16128" width="9.140625" style="854"/>
    <col min="16129" max="16129" width="26.42578125" style="854" customWidth="1"/>
    <col min="16130" max="16130" width="22" style="854" customWidth="1"/>
    <col min="16131" max="16131" width="8" style="854" customWidth="1"/>
    <col min="16132" max="16132" width="9" style="854" customWidth="1"/>
    <col min="16133" max="16133" width="8.85546875" style="854" customWidth="1"/>
    <col min="16134" max="16134" width="2.7109375" style="854" customWidth="1"/>
    <col min="16135" max="16135" width="7.7109375" style="854" customWidth="1"/>
    <col min="16136" max="16136" width="2.85546875" style="854" customWidth="1"/>
    <col min="16137" max="16137" width="16.85546875" style="854" customWidth="1"/>
    <col min="16138" max="16138" width="2.7109375" style="854" customWidth="1"/>
    <col min="16139" max="16139" width="17.5703125" style="854" customWidth="1"/>
    <col min="16140" max="16140" width="29.7109375" style="854" customWidth="1"/>
    <col min="16141" max="16141" width="25.7109375" style="854" customWidth="1"/>
    <col min="16142" max="16142" width="23.7109375" style="854" customWidth="1"/>
    <col min="16143" max="16384" width="9.140625" style="854"/>
  </cols>
  <sheetData>
    <row r="1" spans="1:41" s="851" customFormat="1" ht="15.75" customHeight="1" thickTop="1">
      <c r="A1" s="1282" t="s">
        <v>720</v>
      </c>
      <c r="B1" s="1283"/>
      <c r="C1" s="1283"/>
      <c r="D1" s="1283"/>
      <c r="E1" s="1283"/>
      <c r="F1" s="1283"/>
      <c r="G1" s="1283"/>
      <c r="H1" s="1283"/>
      <c r="I1" s="1283"/>
      <c r="J1" s="1283"/>
      <c r="K1" s="1283"/>
      <c r="L1" s="1283"/>
      <c r="M1" s="1283"/>
      <c r="N1" s="1284"/>
    </row>
    <row r="2" spans="1:41" s="851" customFormat="1" ht="12.75" customHeight="1">
      <c r="A2" s="1285"/>
      <c r="B2" s="1286"/>
      <c r="C2" s="1286"/>
      <c r="D2" s="1286"/>
      <c r="E2" s="1286"/>
      <c r="F2" s="1286"/>
      <c r="G2" s="1286"/>
      <c r="H2" s="1286"/>
      <c r="I2" s="1286"/>
      <c r="J2" s="1286"/>
      <c r="K2" s="1286"/>
      <c r="L2" s="1286"/>
      <c r="M2" s="1286"/>
      <c r="N2" s="1287"/>
    </row>
    <row r="3" spans="1:41" s="851" customFormat="1" ht="14.25" customHeight="1">
      <c r="A3" s="1285"/>
      <c r="B3" s="1286"/>
      <c r="C3" s="1286"/>
      <c r="D3" s="1286"/>
      <c r="E3" s="1286"/>
      <c r="F3" s="1286"/>
      <c r="G3" s="1286"/>
      <c r="H3" s="1286"/>
      <c r="I3" s="1286"/>
      <c r="J3" s="1286"/>
      <c r="K3" s="1286"/>
      <c r="L3" s="1286"/>
      <c r="M3" s="1286"/>
      <c r="N3" s="1287"/>
    </row>
    <row r="4" spans="1:41" s="851" customFormat="1" ht="15" customHeight="1" thickBot="1">
      <c r="A4" s="1288"/>
      <c r="B4" s="1289"/>
      <c r="C4" s="1289"/>
      <c r="D4" s="1289"/>
      <c r="E4" s="1289"/>
      <c r="F4" s="1289"/>
      <c r="G4" s="1289"/>
      <c r="H4" s="1289"/>
      <c r="I4" s="1289"/>
      <c r="J4" s="1289"/>
      <c r="K4" s="1289"/>
      <c r="L4" s="1289"/>
      <c r="M4" s="1289"/>
      <c r="N4" s="1290"/>
    </row>
    <row r="5" spans="1:41" ht="14.25" customHeight="1" thickBot="1">
      <c r="A5" s="852"/>
      <c r="B5" s="853"/>
      <c r="C5" s="853"/>
      <c r="D5" s="853"/>
      <c r="E5" s="853"/>
      <c r="F5" s="853"/>
      <c r="G5" s="853"/>
      <c r="H5" s="853"/>
      <c r="I5" s="853"/>
      <c r="L5" s="855"/>
      <c r="M5" s="1291"/>
      <c r="N5" s="1292"/>
    </row>
    <row r="6" spans="1:41" ht="18" customHeight="1" thickBot="1">
      <c r="A6" s="856" t="s">
        <v>426</v>
      </c>
      <c r="B6" s="857"/>
      <c r="C6" s="858" t="s">
        <v>427</v>
      </c>
      <c r="D6" s="859"/>
      <c r="E6" s="1293"/>
      <c r="F6" s="1293"/>
      <c r="G6" s="1293"/>
      <c r="H6" s="860"/>
      <c r="I6" s="861"/>
      <c r="J6" s="1294" t="s">
        <v>721</v>
      </c>
      <c r="K6" s="1295"/>
      <c r="L6" s="862" t="s">
        <v>722</v>
      </c>
      <c r="M6" s="863" t="s">
        <v>723</v>
      </c>
      <c r="N6" s="864" t="s">
        <v>724</v>
      </c>
    </row>
    <row r="7" spans="1:41" ht="18" customHeight="1" thickBot="1">
      <c r="A7" s="865" t="s">
        <v>266</v>
      </c>
      <c r="B7" s="866" t="str">
        <f>'[8]Delivery Order'!C7</f>
        <v>INTB-12</v>
      </c>
      <c r="C7" s="867" t="s">
        <v>725</v>
      </c>
      <c r="D7" s="868"/>
      <c r="E7" s="860" t="str">
        <f>'[8]Delivery Order'!M7</f>
        <v xml:space="preserve"> </v>
      </c>
      <c r="F7" s="860"/>
      <c r="G7" s="860"/>
      <c r="H7" s="860"/>
      <c r="I7" s="869"/>
      <c r="J7" s="870"/>
      <c r="K7" s="871"/>
      <c r="L7" s="872"/>
      <c r="M7" s="855"/>
      <c r="N7" s="873"/>
    </row>
    <row r="8" spans="1:41" ht="18" customHeight="1" thickBot="1">
      <c r="A8" s="865" t="s">
        <v>726</v>
      </c>
      <c r="B8" s="874" t="str">
        <f>'[8]Delivery Order'!C8</f>
        <v>NBU</v>
      </c>
      <c r="C8" s="868" t="s">
        <v>727</v>
      </c>
      <c r="D8" s="868"/>
      <c r="E8" s="860"/>
      <c r="F8" s="860"/>
      <c r="G8" s="860"/>
      <c r="H8" s="860"/>
      <c r="I8" s="869"/>
      <c r="L8" s="855"/>
      <c r="M8" s="855"/>
      <c r="N8" s="873"/>
    </row>
    <row r="9" spans="1:41" ht="18" customHeight="1">
      <c r="A9" s="875"/>
      <c r="B9" s="876"/>
      <c r="C9" s="876"/>
      <c r="D9" s="876"/>
      <c r="E9" s="876"/>
      <c r="F9" s="876"/>
      <c r="G9" s="876"/>
      <c r="H9" s="877"/>
      <c r="I9" s="878"/>
      <c r="L9" s="855"/>
      <c r="M9" s="879"/>
      <c r="N9" s="873"/>
    </row>
    <row r="10" spans="1:41" ht="18" customHeight="1">
      <c r="A10" s="880" t="s">
        <v>728</v>
      </c>
      <c r="B10" s="1262" t="s">
        <v>729</v>
      </c>
      <c r="C10" s="1264"/>
      <c r="D10" s="1296" t="s">
        <v>730</v>
      </c>
      <c r="E10" s="1297"/>
      <c r="F10" s="1297"/>
      <c r="G10" s="1297"/>
      <c r="H10" s="1298"/>
      <c r="I10" s="881" t="s">
        <v>731</v>
      </c>
      <c r="L10" s="882"/>
      <c r="N10" s="883"/>
    </row>
    <row r="11" spans="1:41" ht="18" customHeight="1">
      <c r="A11" s="865" t="s">
        <v>732</v>
      </c>
      <c r="B11" s="1274" t="s">
        <v>733</v>
      </c>
      <c r="C11" s="1275"/>
      <c r="D11" s="1274"/>
      <c r="E11" s="1276"/>
      <c r="F11" s="1276"/>
      <c r="G11" s="1276"/>
      <c r="H11" s="1275"/>
      <c r="I11" s="884"/>
      <c r="L11" s="885"/>
      <c r="N11" s="883"/>
    </row>
    <row r="12" spans="1:41" ht="18" customHeight="1">
      <c r="A12" s="865" t="s">
        <v>734</v>
      </c>
      <c r="B12" s="1277" t="s">
        <v>735</v>
      </c>
      <c r="C12" s="1278"/>
      <c r="D12" s="1246" t="str">
        <f>'[8]Delivery Order'!K10</f>
        <v>EM 52062-129-040</v>
      </c>
      <c r="E12" s="1247"/>
      <c r="F12" s="1247"/>
      <c r="G12" s="1247"/>
      <c r="H12" s="1248"/>
      <c r="I12" s="884" t="str">
        <f>'[8]Delivery Order'!M10</f>
        <v>1EA</v>
      </c>
      <c r="N12" s="883"/>
    </row>
    <row r="13" spans="1:41" ht="18" customHeight="1">
      <c r="A13" s="865" t="s">
        <v>736</v>
      </c>
      <c r="B13" s="1256" t="s">
        <v>735</v>
      </c>
      <c r="C13" s="1258"/>
      <c r="D13" s="1279" t="str">
        <f>'[8]Delivery Order'!K11</f>
        <v>EM 51015-1</v>
      </c>
      <c r="E13" s="1280"/>
      <c r="F13" s="1280"/>
      <c r="G13" s="1280"/>
      <c r="H13" s="1281"/>
      <c r="I13" s="884" t="str">
        <f>'[8]Delivery Order'!M11</f>
        <v>1EA</v>
      </c>
      <c r="N13" s="883"/>
      <c r="R13" s="885"/>
      <c r="U13" s="855"/>
      <c r="W13" s="855"/>
      <c r="Y13" s="855"/>
      <c r="AO13" s="886"/>
    </row>
    <row r="14" spans="1:41" ht="18" customHeight="1">
      <c r="A14" s="865" t="s">
        <v>737</v>
      </c>
      <c r="B14" s="1256" t="s">
        <v>735</v>
      </c>
      <c r="C14" s="1258"/>
      <c r="D14" s="1246" t="str">
        <f>'[8]Delivery Order'!K12</f>
        <v>EM 53013 R18</v>
      </c>
      <c r="E14" s="1247"/>
      <c r="F14" s="1247"/>
      <c r="G14" s="1247"/>
      <c r="H14" s="1248"/>
      <c r="I14" s="884" t="str">
        <f>'[8]Delivery Order'!M12</f>
        <v>1EA</v>
      </c>
      <c r="J14" s="887"/>
      <c r="K14" s="887"/>
      <c r="L14" s="887"/>
      <c r="M14" s="887"/>
      <c r="N14" s="888"/>
    </row>
    <row r="15" spans="1:41" ht="18" customHeight="1">
      <c r="A15" s="865" t="str">
        <f>'[8]Delivery Order'!B13</f>
        <v>Packer</v>
      </c>
      <c r="B15" s="1256" t="str">
        <f>'[8]Delivery Order'!K13</f>
        <v>Packerless</v>
      </c>
      <c r="C15" s="1258"/>
      <c r="D15" s="1256"/>
      <c r="E15" s="1257"/>
      <c r="F15" s="1257"/>
      <c r="G15" s="1257"/>
      <c r="H15" s="1258"/>
      <c r="I15" s="884" t="str">
        <f>'[8]Delivery Order'!M13</f>
        <v>N/A</v>
      </c>
      <c r="J15" s="887"/>
      <c r="K15" s="887"/>
      <c r="L15" s="887"/>
      <c r="M15" s="887"/>
      <c r="N15" s="888"/>
    </row>
    <row r="16" spans="1:41" ht="18" customHeight="1">
      <c r="A16" s="865" t="s">
        <v>738</v>
      </c>
      <c r="B16" s="889" t="str">
        <f>'[8]Delivery Order'!D14</f>
        <v>Gulf coast for</v>
      </c>
      <c r="C16" s="890" t="str">
        <f>'[8]Delivery Order'!G14</f>
        <v>3 1/2"</v>
      </c>
      <c r="D16" s="1246" t="str">
        <f>'[8]Delivery Order'!I14</f>
        <v>TBG</v>
      </c>
      <c r="E16" s="1247"/>
      <c r="F16" s="1247"/>
      <c r="G16" s="1247"/>
      <c r="H16" s="1248"/>
      <c r="I16" s="891" t="str">
        <f>'[8]Delivery Order'!M14</f>
        <v>As the barge inventory</v>
      </c>
      <c r="J16" s="892"/>
      <c r="K16" s="892"/>
      <c r="L16" s="893"/>
      <c r="M16" s="893"/>
      <c r="N16" s="894"/>
      <c r="P16" s="885"/>
    </row>
    <row r="17" spans="1:19" ht="18" customHeight="1">
      <c r="A17" s="865" t="s">
        <v>739</v>
      </c>
      <c r="B17" s="1256"/>
      <c r="C17" s="1258"/>
      <c r="D17" s="1246"/>
      <c r="E17" s="1247"/>
      <c r="F17" s="1247"/>
      <c r="G17" s="1247"/>
      <c r="H17" s="1248"/>
      <c r="I17" s="895"/>
      <c r="J17" s="896"/>
      <c r="K17" s="896"/>
      <c r="L17" s="897" t="s">
        <v>740</v>
      </c>
      <c r="M17" s="897" t="s">
        <v>158</v>
      </c>
      <c r="N17" s="898" t="s">
        <v>159</v>
      </c>
    </row>
    <row r="18" spans="1:19" ht="18" customHeight="1">
      <c r="A18" s="899" t="s">
        <v>741</v>
      </c>
      <c r="B18" s="1268"/>
      <c r="C18" s="1261"/>
      <c r="D18" s="1269"/>
      <c r="E18" s="1270"/>
      <c r="F18" s="1270"/>
      <c r="G18" s="1270"/>
      <c r="H18" s="1271"/>
      <c r="I18" s="900"/>
      <c r="J18" s="887"/>
      <c r="K18" s="887"/>
      <c r="L18" s="901"/>
      <c r="M18" s="902" t="s">
        <v>742</v>
      </c>
      <c r="N18" s="903"/>
    </row>
    <row r="19" spans="1:19" ht="18" customHeight="1">
      <c r="A19" s="865" t="s">
        <v>743</v>
      </c>
      <c r="B19" s="1272" t="str">
        <f>'[8]Delivery Order'!G14</f>
        <v>3 1/2"</v>
      </c>
      <c r="C19" s="1273"/>
      <c r="D19" s="1265" t="s">
        <v>744</v>
      </c>
      <c r="E19" s="1266"/>
      <c r="F19" s="1266"/>
      <c r="G19" s="1266"/>
      <c r="H19" s="1267"/>
      <c r="I19" s="884"/>
      <c r="J19" s="887"/>
      <c r="K19" s="887"/>
      <c r="L19" s="886"/>
      <c r="M19" s="904"/>
      <c r="N19" s="905"/>
    </row>
    <row r="20" spans="1:19" ht="18" customHeight="1">
      <c r="A20" s="906" t="s">
        <v>745</v>
      </c>
      <c r="B20" s="1256" t="str">
        <f>'[8]Delivery Order'!D16</f>
        <v>9 5/8"</v>
      </c>
      <c r="C20" s="1258"/>
      <c r="D20" s="1246" t="s">
        <v>746</v>
      </c>
      <c r="E20" s="1247"/>
      <c r="F20" s="1247"/>
      <c r="G20" s="1247"/>
      <c r="H20" s="1248"/>
      <c r="I20" s="884"/>
      <c r="J20" s="887"/>
      <c r="K20" s="887"/>
      <c r="L20" s="886"/>
      <c r="M20" s="904"/>
      <c r="N20" s="905"/>
      <c r="P20" s="907"/>
      <c r="Q20" s="907"/>
      <c r="R20" s="907"/>
      <c r="S20" s="907"/>
    </row>
    <row r="21" spans="1:19" ht="18" customHeight="1">
      <c r="A21" s="865" t="s">
        <v>747</v>
      </c>
      <c r="B21" s="908">
        <v>4097</v>
      </c>
      <c r="C21" s="909" t="s">
        <v>748</v>
      </c>
      <c r="D21" s="1256"/>
      <c r="E21" s="1257"/>
      <c r="F21" s="1257"/>
      <c r="G21" s="1257"/>
      <c r="H21" s="1258"/>
      <c r="I21" s="884"/>
      <c r="J21" s="887"/>
      <c r="K21" s="887"/>
      <c r="L21" s="886"/>
      <c r="M21" s="904"/>
      <c r="N21" s="905"/>
      <c r="P21" s="907"/>
      <c r="Q21" s="907"/>
      <c r="R21" s="907"/>
      <c r="S21" s="907"/>
    </row>
    <row r="22" spans="1:19" ht="18" customHeight="1">
      <c r="A22" s="865" t="s">
        <v>749</v>
      </c>
      <c r="B22" s="910">
        <v>6000</v>
      </c>
      <c r="C22" s="911" t="s">
        <v>750</v>
      </c>
      <c r="D22" s="1259"/>
      <c r="E22" s="1260"/>
      <c r="F22" s="1260"/>
      <c r="G22" s="1260"/>
      <c r="H22" s="1261"/>
      <c r="I22" s="884"/>
      <c r="J22" s="896"/>
      <c r="K22" s="896"/>
      <c r="L22" s="886"/>
      <c r="M22" s="886"/>
      <c r="N22" s="912"/>
    </row>
    <row r="23" spans="1:19" ht="18" customHeight="1">
      <c r="A23" s="880" t="s">
        <v>728</v>
      </c>
      <c r="B23" s="913" t="s">
        <v>751</v>
      </c>
      <c r="C23" s="1262" t="s">
        <v>752</v>
      </c>
      <c r="D23" s="1263"/>
      <c r="E23" s="1263"/>
      <c r="F23" s="1263"/>
      <c r="G23" s="1263"/>
      <c r="H23" s="1264"/>
      <c r="I23" s="914" t="s">
        <v>753</v>
      </c>
      <c r="J23" s="896"/>
      <c r="K23" s="896"/>
      <c r="L23" s="881" t="s">
        <v>728</v>
      </c>
      <c r="M23" s="881" t="s">
        <v>754</v>
      </c>
      <c r="N23" s="915" t="s">
        <v>755</v>
      </c>
    </row>
    <row r="24" spans="1:19" ht="18" customHeight="1">
      <c r="A24" s="916" t="s">
        <v>756</v>
      </c>
      <c r="B24" s="917" t="s">
        <v>757</v>
      </c>
      <c r="C24" s="1265" t="str">
        <f>'[8]Delivery Order'!D17</f>
        <v>POWERLIFT Round Cable</v>
      </c>
      <c r="D24" s="1266"/>
      <c r="E24" s="1266"/>
      <c r="F24" s="1266"/>
      <c r="G24" s="1266"/>
      <c r="H24" s="1267"/>
      <c r="I24" s="917" t="str">
        <f>'[8]Delivery Order'!K17</f>
        <v xml:space="preserve"> </v>
      </c>
      <c r="K24" s="886"/>
      <c r="L24" s="918" t="s">
        <v>758</v>
      </c>
      <c r="M24" s="917" t="s">
        <v>759</v>
      </c>
      <c r="N24" s="919">
        <f>B21+100</f>
        <v>4197</v>
      </c>
    </row>
    <row r="25" spans="1:19" ht="18" customHeight="1">
      <c r="A25" s="916"/>
      <c r="B25" s="920"/>
      <c r="C25" s="855"/>
      <c r="D25" s="855"/>
      <c r="E25" s="855"/>
      <c r="F25" s="855"/>
      <c r="G25" s="855"/>
      <c r="H25" s="855"/>
      <c r="I25" s="920"/>
      <c r="K25" s="886"/>
      <c r="L25" s="918"/>
      <c r="M25" s="920"/>
      <c r="N25" s="921"/>
    </row>
    <row r="26" spans="1:19" ht="18" customHeight="1">
      <c r="A26" s="916" t="s">
        <v>760</v>
      </c>
      <c r="B26" s="922" t="str">
        <f>'[8]Delivery Order'!D19</f>
        <v>3 1/2"</v>
      </c>
      <c r="C26" s="855"/>
      <c r="D26" s="855"/>
      <c r="E26" s="855"/>
      <c r="F26" s="855"/>
      <c r="G26" s="855"/>
      <c r="H26" s="886"/>
      <c r="I26" s="920"/>
      <c r="K26" s="904">
        <v>0.8</v>
      </c>
      <c r="L26" s="918" t="s">
        <v>761</v>
      </c>
      <c r="M26" s="922" t="str">
        <f>B26</f>
        <v>3 1/2"</v>
      </c>
      <c r="N26" s="923"/>
    </row>
    <row r="27" spans="1:19" ht="18" customHeight="1">
      <c r="A27" s="924"/>
      <c r="B27" s="925"/>
      <c r="C27" s="926"/>
      <c r="D27" s="926"/>
      <c r="E27" s="926"/>
      <c r="F27" s="926"/>
      <c r="G27" s="926"/>
      <c r="H27" s="904"/>
      <c r="I27" s="920"/>
      <c r="J27" s="927"/>
      <c r="K27" s="904"/>
      <c r="L27" s="920"/>
      <c r="M27" s="904"/>
      <c r="N27" s="923"/>
    </row>
    <row r="28" spans="1:19" ht="18" customHeight="1">
      <c r="A28" s="924" t="str">
        <f>'[8]Delivery Order'!B20</f>
        <v>Pump UT:</v>
      </c>
      <c r="B28" s="920">
        <f>'[8]Delivery Order'!D20</f>
        <v>130</v>
      </c>
      <c r="C28" s="928" t="str">
        <f>'[8]Delivery Order'!E20</f>
        <v>QN70</v>
      </c>
      <c r="D28" s="926" t="str">
        <f>'[8]Delivery Order'!F20</f>
        <v>ARC</v>
      </c>
      <c r="E28" s="929">
        <f>'[8]Delivery Order'!G20</f>
        <v>73</v>
      </c>
      <c r="F28" s="1244" t="str">
        <f>'[8]Delivery Order'!H20</f>
        <v>STGS</v>
      </c>
      <c r="G28" s="1244"/>
      <c r="H28" s="1245"/>
      <c r="I28" s="920">
        <f>'[8]Delivery Order'!K20</f>
        <v>0</v>
      </c>
      <c r="J28" s="927"/>
      <c r="K28" s="930"/>
      <c r="L28" s="854" t="str">
        <f>A28</f>
        <v>Pump UT:</v>
      </c>
      <c r="M28" s="931">
        <f>B28/(10*2.545)</f>
        <v>5.1080550098231825</v>
      </c>
      <c r="N28" s="923">
        <f>'[8]Delivery Order'!M20</f>
        <v>22.05</v>
      </c>
    </row>
    <row r="29" spans="1:19" ht="18" customHeight="1">
      <c r="A29" s="924"/>
      <c r="B29" s="920"/>
      <c r="C29" s="889"/>
      <c r="D29" s="855"/>
      <c r="E29" s="932"/>
      <c r="F29" s="855"/>
      <c r="H29" s="926"/>
      <c r="I29" s="920"/>
      <c r="J29" s="927"/>
      <c r="K29" s="930"/>
      <c r="L29" s="933"/>
      <c r="M29" s="904"/>
      <c r="N29" s="923"/>
    </row>
    <row r="30" spans="1:19" ht="18" customHeight="1">
      <c r="A30" s="924"/>
      <c r="B30" s="920"/>
      <c r="C30" s="928"/>
      <c r="D30" s="926"/>
      <c r="E30" s="932"/>
      <c r="F30" s="926"/>
      <c r="H30" s="926"/>
      <c r="I30" s="920"/>
      <c r="J30" s="927"/>
      <c r="K30" s="904"/>
      <c r="L30" s="920"/>
      <c r="M30" s="904"/>
      <c r="N30" s="923"/>
    </row>
    <row r="31" spans="1:19" ht="18" customHeight="1">
      <c r="A31" s="934"/>
      <c r="B31" s="920"/>
      <c r="C31" s="928"/>
      <c r="D31" s="926"/>
      <c r="E31" s="932"/>
      <c r="F31" s="926"/>
      <c r="H31" s="926"/>
      <c r="I31" s="920"/>
      <c r="J31" s="927"/>
      <c r="K31" s="904"/>
      <c r="L31" s="935"/>
      <c r="M31" s="931"/>
      <c r="N31" s="923"/>
    </row>
    <row r="32" spans="1:19" ht="18" customHeight="1">
      <c r="A32" s="924"/>
      <c r="B32" s="920"/>
      <c r="C32" s="889"/>
      <c r="D32" s="855"/>
      <c r="E32" s="932"/>
      <c r="F32" s="855"/>
      <c r="H32" s="926"/>
      <c r="I32" s="920"/>
      <c r="J32" s="927"/>
      <c r="K32" s="904"/>
      <c r="L32" s="935"/>
      <c r="M32" s="931"/>
      <c r="N32" s="923"/>
    </row>
    <row r="33" spans="1:14" ht="18" customHeight="1">
      <c r="A33" s="924"/>
      <c r="B33" s="920"/>
      <c r="C33" s="928"/>
      <c r="D33" s="936"/>
      <c r="E33" s="932"/>
      <c r="F33" s="926"/>
      <c r="H33" s="855"/>
      <c r="I33" s="920"/>
      <c r="J33" s="927"/>
      <c r="K33" s="904"/>
      <c r="L33" s="920"/>
      <c r="M33" s="904"/>
      <c r="N33" s="923"/>
    </row>
    <row r="34" spans="1:14" ht="18" customHeight="1">
      <c r="A34" s="934"/>
      <c r="B34" s="920"/>
      <c r="C34" s="928"/>
      <c r="D34" s="926"/>
      <c r="E34" s="932"/>
      <c r="F34" s="926"/>
      <c r="H34" s="855"/>
      <c r="I34" s="920"/>
      <c r="J34" s="927"/>
      <c r="K34" s="904"/>
      <c r="L34" s="935"/>
      <c r="M34" s="931"/>
      <c r="N34" s="923"/>
    </row>
    <row r="35" spans="1:14" ht="18" customHeight="1">
      <c r="A35" s="934"/>
      <c r="B35" s="920"/>
      <c r="C35" s="889"/>
      <c r="D35" s="855"/>
      <c r="E35" s="932"/>
      <c r="F35" s="855"/>
      <c r="H35" s="926"/>
      <c r="I35" s="920"/>
      <c r="J35" s="927"/>
      <c r="K35" s="904"/>
      <c r="L35" s="935"/>
      <c r="M35" s="931"/>
      <c r="N35" s="923"/>
    </row>
    <row r="36" spans="1:14" ht="18" customHeight="1">
      <c r="A36" s="924" t="str">
        <f>'[8]Delivery Order'!B21</f>
        <v>Pump LT:</v>
      </c>
      <c r="B36" s="920">
        <f>'[8]Delivery Order'!D21</f>
        <v>130</v>
      </c>
      <c r="C36" s="928" t="str">
        <f>'[8]Delivery Order'!E21</f>
        <v>QN70</v>
      </c>
      <c r="D36" s="926" t="str">
        <f>'[8]Delivery Order'!F21</f>
        <v>ARC</v>
      </c>
      <c r="E36" s="929">
        <f>'[8]Delivery Order'!G21</f>
        <v>73</v>
      </c>
      <c r="F36" s="1244" t="str">
        <f>'[8]Delivery Order'!H21</f>
        <v>STGS</v>
      </c>
      <c r="G36" s="1244"/>
      <c r="H36" s="1245"/>
      <c r="I36" s="920">
        <f>'[8]Delivery Order'!K21</f>
        <v>0</v>
      </c>
      <c r="J36" s="927"/>
      <c r="K36" s="930"/>
      <c r="L36" s="854" t="str">
        <f>A36</f>
        <v>Pump LT:</v>
      </c>
      <c r="M36" s="931">
        <f>B36/(10*2.545)</f>
        <v>5.1080550098231825</v>
      </c>
      <c r="N36" s="923">
        <f>'[8]Delivery Order'!M21</f>
        <v>22.05</v>
      </c>
    </row>
    <row r="37" spans="1:14" ht="18" customHeight="1">
      <c r="A37" s="924"/>
      <c r="B37" s="920"/>
      <c r="C37" s="928"/>
      <c r="D37" s="936"/>
      <c r="E37" s="932"/>
      <c r="F37" s="1244"/>
      <c r="G37" s="1244"/>
      <c r="H37" s="1245"/>
      <c r="I37" s="920"/>
      <c r="J37" s="927"/>
      <c r="K37" s="904"/>
      <c r="L37" s="937"/>
      <c r="M37" s="931"/>
      <c r="N37" s="923"/>
    </row>
    <row r="38" spans="1:14" ht="18" customHeight="1">
      <c r="A38" s="934"/>
      <c r="B38" s="920"/>
      <c r="C38" s="938"/>
      <c r="D38" s="855"/>
      <c r="E38" s="855"/>
      <c r="F38" s="855"/>
      <c r="G38" s="855"/>
      <c r="H38" s="904"/>
      <c r="I38" s="920"/>
      <c r="J38" s="927"/>
      <c r="K38" s="904"/>
      <c r="L38" s="935"/>
      <c r="M38" s="931"/>
      <c r="N38" s="923"/>
    </row>
    <row r="39" spans="1:14" ht="18" customHeight="1">
      <c r="A39" s="934"/>
      <c r="B39" s="920"/>
      <c r="C39" s="939"/>
      <c r="D39" s="936"/>
      <c r="E39" s="936"/>
      <c r="F39" s="936"/>
      <c r="G39" s="936"/>
      <c r="H39" s="855"/>
      <c r="I39" s="940"/>
      <c r="J39" s="927"/>
      <c r="K39" s="904"/>
      <c r="L39" s="935"/>
      <c r="M39" s="931"/>
      <c r="N39" s="923"/>
    </row>
    <row r="40" spans="1:14" ht="18" customHeight="1">
      <c r="A40" s="934"/>
      <c r="B40" s="920"/>
      <c r="C40" s="939"/>
      <c r="D40" s="936"/>
      <c r="E40" s="936"/>
      <c r="F40" s="936"/>
      <c r="G40" s="936"/>
      <c r="H40" s="855"/>
      <c r="I40" s="920"/>
      <c r="J40" s="927"/>
      <c r="K40" s="904"/>
      <c r="L40" s="935"/>
      <c r="M40" s="931"/>
      <c r="N40" s="923"/>
    </row>
    <row r="41" spans="1:14" ht="18" customHeight="1">
      <c r="A41" s="924"/>
      <c r="B41" s="920"/>
      <c r="C41" s="941"/>
      <c r="D41" s="926"/>
      <c r="E41" s="926"/>
      <c r="F41" s="926"/>
      <c r="G41" s="926"/>
      <c r="H41" s="855"/>
      <c r="I41" s="920"/>
      <c r="J41" s="927"/>
      <c r="K41" s="904"/>
      <c r="L41" s="920"/>
      <c r="M41" s="904"/>
      <c r="N41" s="923"/>
    </row>
    <row r="42" spans="1:14" ht="18" customHeight="1">
      <c r="A42" s="924"/>
      <c r="B42" s="920"/>
      <c r="C42" s="941"/>
      <c r="D42" s="926"/>
      <c r="E42" s="926"/>
      <c r="F42" s="926"/>
      <c r="G42" s="926"/>
      <c r="H42" s="855"/>
      <c r="I42" s="920"/>
      <c r="J42" s="936"/>
      <c r="K42" s="904"/>
      <c r="L42" s="920"/>
      <c r="M42" s="904"/>
      <c r="N42" s="923"/>
    </row>
    <row r="43" spans="1:14" ht="18" customHeight="1">
      <c r="A43" s="934"/>
      <c r="B43" s="920"/>
      <c r="C43" s="941"/>
      <c r="D43" s="926"/>
      <c r="E43" s="926"/>
      <c r="F43" s="926"/>
      <c r="G43" s="926"/>
      <c r="H43" s="855"/>
      <c r="I43" s="920"/>
      <c r="J43" s="927"/>
      <c r="K43" s="904"/>
      <c r="L43" s="935"/>
      <c r="M43" s="931"/>
      <c r="N43" s="923"/>
    </row>
    <row r="44" spans="1:14" ht="18" customHeight="1">
      <c r="A44" s="924" t="str">
        <f>'[8]Delivery Order'!B23</f>
        <v>Intake</v>
      </c>
      <c r="B44" s="920">
        <f>'[8]Delivery Order'!D23</f>
        <v>130</v>
      </c>
      <c r="C44" s="1246" t="str">
        <f>'[8]Delivery Order'!E23</f>
        <v>NI-AR-CCR-AS-N</v>
      </c>
      <c r="D44" s="1247"/>
      <c r="E44" s="1247"/>
      <c r="F44" s="1247"/>
      <c r="G44" s="1247"/>
      <c r="H44" s="1248"/>
      <c r="I44" s="920" t="str">
        <f>'[8]Delivery Order'!N23</f>
        <v>Anti-corrosion</v>
      </c>
      <c r="J44" s="927"/>
      <c r="K44" s="904"/>
      <c r="L44" s="918" t="str">
        <f>A44</f>
        <v>Intake</v>
      </c>
      <c r="M44" s="931">
        <f>B44/(10*2.545)</f>
        <v>5.1080550098231825</v>
      </c>
      <c r="N44" s="923">
        <f>'[8]Delivery Order'!M23</f>
        <v>0.77</v>
      </c>
    </row>
    <row r="45" spans="1:14" ht="18" customHeight="1">
      <c r="A45" s="924"/>
      <c r="B45" s="920"/>
      <c r="C45" s="938"/>
      <c r="D45" s="855"/>
      <c r="E45" s="855"/>
      <c r="F45" s="855"/>
      <c r="G45" s="855"/>
      <c r="H45" s="904"/>
      <c r="I45" s="920"/>
      <c r="J45" s="927"/>
      <c r="K45" s="904"/>
      <c r="L45" s="920"/>
      <c r="M45" s="904"/>
      <c r="N45" s="923"/>
    </row>
    <row r="46" spans="1:14" ht="18" customHeight="1">
      <c r="A46" s="934"/>
      <c r="B46" s="920"/>
      <c r="C46" s="939"/>
      <c r="D46" s="936"/>
      <c r="E46" s="936"/>
      <c r="F46" s="936"/>
      <c r="G46" s="936"/>
      <c r="H46" s="855"/>
      <c r="I46" s="920"/>
      <c r="J46" s="927"/>
      <c r="K46" s="904"/>
      <c r="L46" s="935"/>
      <c r="M46" s="931"/>
      <c r="N46" s="923"/>
    </row>
    <row r="47" spans="1:14" ht="18" customHeight="1">
      <c r="A47" s="934"/>
      <c r="B47" s="920"/>
      <c r="C47" s="939"/>
      <c r="D47" s="936"/>
      <c r="E47" s="936"/>
      <c r="F47" s="936"/>
      <c r="G47" s="936"/>
      <c r="H47" s="855"/>
      <c r="I47" s="920"/>
      <c r="J47" s="927"/>
      <c r="K47" s="904"/>
      <c r="L47" s="935"/>
      <c r="M47" s="931"/>
      <c r="N47" s="923"/>
    </row>
    <row r="48" spans="1:14" ht="18" customHeight="1">
      <c r="A48" s="924"/>
      <c r="B48" s="920"/>
      <c r="C48" s="941"/>
      <c r="D48" s="926"/>
      <c r="E48" s="926"/>
      <c r="F48" s="926"/>
      <c r="G48" s="926"/>
      <c r="H48" s="904"/>
      <c r="I48" s="920"/>
      <c r="J48" s="927"/>
      <c r="K48" s="904"/>
      <c r="L48" s="920"/>
      <c r="M48" s="904"/>
      <c r="N48" s="923"/>
    </row>
    <row r="49" spans="1:14" ht="18" customHeight="1">
      <c r="A49" s="924" t="str">
        <f>'[8]Delivery Order'!B24</f>
        <v>Protector DT:</v>
      </c>
      <c r="B49" s="920">
        <f>'[8]Delivery Order'!D24</f>
        <v>130</v>
      </c>
      <c r="C49" s="1249" t="str">
        <f>'[8]Delivery Order'!E24</f>
        <v>NPBPBSLST-AR-CCR-PL3-RF-HL-E</v>
      </c>
      <c r="D49" s="1250"/>
      <c r="E49" s="1250"/>
      <c r="F49" s="1250"/>
      <c r="G49" s="1250"/>
      <c r="H49" s="1251"/>
      <c r="I49" s="920" t="str">
        <f>IF('[8]Delivery Order'!K24="inconel shaft",'[8]Delivery Order'!K24,'[8]Delivery Order'!N24)</f>
        <v>Anti-corrosion</v>
      </c>
      <c r="J49" s="927"/>
      <c r="K49" s="904"/>
      <c r="L49" s="925" t="str">
        <f>A49</f>
        <v>Protector DT:</v>
      </c>
      <c r="M49" s="931">
        <f>B49/(10*2.545)</f>
        <v>5.1080550098231825</v>
      </c>
      <c r="N49" s="923">
        <f>'[8]Delivery Order'!M24</f>
        <v>12.2</v>
      </c>
    </row>
    <row r="50" spans="1:14" ht="18" customHeight="1">
      <c r="A50" s="924"/>
      <c r="B50" s="920"/>
      <c r="C50" s="941"/>
      <c r="D50" s="926"/>
      <c r="E50" s="926"/>
      <c r="F50" s="926"/>
      <c r="G50" s="926"/>
      <c r="H50" s="942"/>
      <c r="I50" s="920"/>
      <c r="J50" s="927"/>
      <c r="K50" s="904"/>
      <c r="L50" s="925"/>
      <c r="M50" s="931"/>
      <c r="N50" s="923"/>
    </row>
    <row r="51" spans="1:14" ht="18" customHeight="1">
      <c r="A51" s="924"/>
      <c r="B51" s="920"/>
      <c r="C51" s="941"/>
      <c r="D51" s="926"/>
      <c r="E51" s="926"/>
      <c r="F51" s="926"/>
      <c r="G51" s="926"/>
      <c r="H51" s="942"/>
      <c r="I51" s="920"/>
      <c r="J51" s="927"/>
      <c r="K51" s="904"/>
      <c r="L51" s="925"/>
      <c r="M51" s="931"/>
      <c r="N51" s="923"/>
    </row>
    <row r="52" spans="1:14" ht="18" customHeight="1">
      <c r="A52" s="924"/>
      <c r="B52" s="920"/>
      <c r="C52" s="941"/>
      <c r="D52" s="926"/>
      <c r="E52" s="926"/>
      <c r="F52" s="926"/>
      <c r="G52" s="926"/>
      <c r="H52" s="942"/>
      <c r="I52" s="920"/>
      <c r="J52" s="927"/>
      <c r="K52" s="904"/>
      <c r="L52" s="925"/>
      <c r="M52" s="931"/>
      <c r="N52" s="923"/>
    </row>
    <row r="53" spans="1:14" ht="18" customHeight="1">
      <c r="A53" s="924"/>
      <c r="B53" s="920"/>
      <c r="C53" s="1249"/>
      <c r="D53" s="1250"/>
      <c r="E53" s="1250"/>
      <c r="F53" s="1250"/>
      <c r="G53" s="1250"/>
      <c r="H53" s="1251"/>
      <c r="I53" s="920"/>
      <c r="J53" s="927"/>
      <c r="K53" s="904"/>
      <c r="L53" s="925"/>
      <c r="M53" s="931"/>
      <c r="N53" s="923"/>
    </row>
    <row r="54" spans="1:14" ht="18" customHeight="1">
      <c r="A54" s="924"/>
      <c r="B54" s="920"/>
      <c r="C54" s="938"/>
      <c r="D54" s="855"/>
      <c r="E54" s="855"/>
      <c r="F54" s="855"/>
      <c r="G54" s="855"/>
      <c r="H54" s="943"/>
      <c r="I54" s="920"/>
      <c r="J54" s="927"/>
      <c r="K54" s="904"/>
      <c r="L54" s="944"/>
      <c r="M54" s="931"/>
      <c r="N54" s="923"/>
    </row>
    <row r="55" spans="1:14" ht="18" customHeight="1">
      <c r="A55" s="934"/>
      <c r="B55" s="920"/>
      <c r="C55" s="939"/>
      <c r="D55" s="936"/>
      <c r="E55" s="936"/>
      <c r="F55" s="936"/>
      <c r="G55" s="936"/>
      <c r="H55" s="855"/>
      <c r="I55" s="920"/>
      <c r="J55" s="927"/>
      <c r="K55" s="904"/>
      <c r="L55" s="920"/>
      <c r="M55" s="904"/>
      <c r="N55" s="923"/>
    </row>
    <row r="56" spans="1:14" ht="18" customHeight="1">
      <c r="A56" s="934"/>
      <c r="B56" s="920"/>
      <c r="C56" s="939"/>
      <c r="D56" s="936"/>
      <c r="E56" s="936"/>
      <c r="F56" s="936"/>
      <c r="G56" s="936"/>
      <c r="H56" s="855"/>
      <c r="I56" s="920"/>
      <c r="J56" s="927"/>
      <c r="K56" s="904"/>
      <c r="L56" s="920"/>
      <c r="M56" s="904"/>
      <c r="N56" s="923"/>
    </row>
    <row r="57" spans="1:14" ht="18" customHeight="1">
      <c r="A57" s="934"/>
      <c r="B57" s="920"/>
      <c r="C57" s="939"/>
      <c r="D57" s="936"/>
      <c r="E57" s="936"/>
      <c r="F57" s="936"/>
      <c r="G57" s="936"/>
      <c r="H57" s="855"/>
      <c r="I57" s="920"/>
      <c r="J57" s="927"/>
      <c r="K57" s="904"/>
      <c r="L57" s="920"/>
      <c r="M57" s="904"/>
      <c r="N57" s="923"/>
    </row>
    <row r="58" spans="1:14" ht="18" customHeight="1">
      <c r="A58" s="924"/>
      <c r="B58" s="920"/>
      <c r="C58" s="939"/>
      <c r="D58" s="936"/>
      <c r="E58" s="936"/>
      <c r="F58" s="936"/>
      <c r="G58" s="936"/>
      <c r="H58" s="855"/>
      <c r="I58" s="920"/>
      <c r="J58" s="927"/>
      <c r="K58" s="904"/>
      <c r="L58" s="925"/>
      <c r="M58" s="931"/>
      <c r="N58" s="923"/>
    </row>
    <row r="59" spans="1:14" ht="18" customHeight="1">
      <c r="A59" s="924"/>
      <c r="B59" s="920"/>
      <c r="C59" s="938"/>
      <c r="D59" s="855"/>
      <c r="E59" s="855"/>
      <c r="F59" s="855"/>
      <c r="G59" s="855"/>
      <c r="H59" s="904"/>
      <c r="I59" s="920"/>
      <c r="J59" s="927"/>
      <c r="K59" s="904"/>
      <c r="L59" s="920"/>
      <c r="M59" s="904"/>
      <c r="N59" s="923"/>
    </row>
    <row r="60" spans="1:14" ht="18" customHeight="1">
      <c r="A60" s="924"/>
      <c r="B60" s="920"/>
      <c r="C60" s="939"/>
      <c r="D60" s="936"/>
      <c r="E60" s="936"/>
      <c r="F60" s="936"/>
      <c r="G60" s="936"/>
      <c r="H60" s="855"/>
      <c r="I60" s="925"/>
      <c r="J60" s="927"/>
      <c r="K60" s="904"/>
      <c r="L60" s="920"/>
      <c r="M60" s="904"/>
      <c r="N60" s="923"/>
    </row>
    <row r="61" spans="1:14" ht="18" customHeight="1">
      <c r="A61" s="934"/>
      <c r="B61" s="920"/>
      <c r="C61" s="945"/>
      <c r="D61" s="946"/>
      <c r="E61" s="946"/>
      <c r="F61" s="946"/>
      <c r="G61" s="946"/>
      <c r="H61" s="904"/>
      <c r="I61" s="920"/>
      <c r="J61" s="927"/>
      <c r="K61" s="904"/>
      <c r="L61" s="920"/>
      <c r="M61" s="904"/>
      <c r="N61" s="923"/>
    </row>
    <row r="62" spans="1:14" ht="18" customHeight="1">
      <c r="A62" s="934"/>
      <c r="B62" s="920"/>
      <c r="C62" s="939"/>
      <c r="D62" s="936"/>
      <c r="E62" s="936"/>
      <c r="F62" s="936"/>
      <c r="G62" s="936"/>
      <c r="H62" s="855"/>
      <c r="I62" s="920"/>
      <c r="J62" s="927"/>
      <c r="K62" s="904"/>
      <c r="L62" s="920"/>
      <c r="M62" s="904"/>
      <c r="N62" s="923"/>
    </row>
    <row r="63" spans="1:14" ht="18" customHeight="1">
      <c r="A63" s="924" t="s">
        <v>762</v>
      </c>
      <c r="B63" s="920" t="s">
        <v>757</v>
      </c>
      <c r="C63" s="1249" t="str">
        <f>'[8]Delivery Order'!D18</f>
        <v>POWERLIFT MLE flat / New</v>
      </c>
      <c r="D63" s="1250"/>
      <c r="E63" s="1250"/>
      <c r="F63" s="1250"/>
      <c r="G63" s="1250"/>
      <c r="H63" s="1251"/>
      <c r="I63" s="947" t="str">
        <f>'[8]Delivery Order'!K18</f>
        <v xml:space="preserve"> </v>
      </c>
      <c r="J63" s="927"/>
      <c r="K63" s="904"/>
      <c r="L63" s="948" t="s">
        <v>763</v>
      </c>
      <c r="M63" s="949">
        <f>SUM(N27:N57)</f>
        <v>57.070000000000007</v>
      </c>
      <c r="N63" s="950">
        <f>IF(M63&lt;40,49,IF(M63&gt;60,82,66))</f>
        <v>66</v>
      </c>
    </row>
    <row r="64" spans="1:14" ht="18" customHeight="1">
      <c r="A64" s="924"/>
      <c r="B64" s="920"/>
      <c r="C64" s="951"/>
      <c r="I64" s="920"/>
      <c r="J64" s="927"/>
      <c r="K64" s="904"/>
      <c r="L64" s="937"/>
      <c r="M64" s="937"/>
      <c r="N64" s="952"/>
    </row>
    <row r="65" spans="1:14" ht="18" customHeight="1">
      <c r="A65" s="934"/>
      <c r="B65" s="920"/>
      <c r="C65" s="941"/>
      <c r="D65" s="926"/>
      <c r="E65" s="926"/>
      <c r="F65" s="926"/>
      <c r="G65" s="926"/>
      <c r="H65" s="904"/>
      <c r="I65" s="920"/>
      <c r="J65" s="927"/>
      <c r="K65" s="904"/>
      <c r="L65" s="920"/>
      <c r="M65" s="904"/>
      <c r="N65" s="923"/>
    </row>
    <row r="66" spans="1:14" ht="18" customHeight="1">
      <c r="A66" s="924" t="s">
        <v>764</v>
      </c>
      <c r="B66" s="920">
        <f>'[8]Delivery Order'!D27</f>
        <v>143</v>
      </c>
      <c r="C66" s="953">
        <f>'[8]Delivery Order'!E27</f>
        <v>273</v>
      </c>
      <c r="D66" s="954" t="str">
        <f>'[8]Delivery Order'!F27</f>
        <v>HP</v>
      </c>
      <c r="E66" s="954">
        <f>'[8]Delivery Order'!G27</f>
        <v>2688</v>
      </c>
      <c r="F66" s="954" t="str">
        <f>'[8]Delivery Order'!H27</f>
        <v>V</v>
      </c>
      <c r="G66" s="954">
        <f>'[8]Delivery Order'!I27</f>
        <v>58</v>
      </c>
      <c r="H66" s="954" t="str">
        <f>'[8]Delivery Order'!J27</f>
        <v>A</v>
      </c>
      <c r="I66" s="920">
        <f>'[8]Delivery Order'!K27</f>
        <v>0</v>
      </c>
      <c r="J66" s="927"/>
      <c r="K66" s="930"/>
      <c r="L66" s="854" t="s">
        <v>764</v>
      </c>
      <c r="M66" s="931">
        <f>B66/(10*2.545)</f>
        <v>5.6188605108055008</v>
      </c>
      <c r="N66" s="923">
        <f>'[8]Delivery Order'!M27</f>
        <v>27.94</v>
      </c>
    </row>
    <row r="67" spans="1:14" ht="18" customHeight="1">
      <c r="A67" s="924"/>
      <c r="B67" s="920"/>
      <c r="C67" s="955"/>
      <c r="D67" s="955"/>
      <c r="E67" s="955"/>
      <c r="F67" s="955"/>
      <c r="G67" s="955"/>
      <c r="H67" s="955"/>
      <c r="I67" s="920"/>
      <c r="J67" s="927"/>
      <c r="K67" s="904"/>
      <c r="L67" s="920"/>
      <c r="M67" s="904"/>
      <c r="N67" s="923"/>
    </row>
    <row r="68" spans="1:14" ht="18" customHeight="1">
      <c r="A68" s="924"/>
      <c r="B68" s="920"/>
      <c r="C68" s="956"/>
      <c r="D68" s="957"/>
      <c r="E68" s="957"/>
      <c r="F68" s="957"/>
      <c r="G68" s="957"/>
      <c r="H68" s="954"/>
      <c r="I68" s="920"/>
      <c r="J68" s="927"/>
      <c r="K68" s="904"/>
      <c r="L68" s="920"/>
      <c r="M68" s="904"/>
      <c r="N68" s="923"/>
    </row>
    <row r="69" spans="1:14" ht="18" customHeight="1">
      <c r="A69" s="924" t="s">
        <v>765</v>
      </c>
      <c r="B69" s="920">
        <f>'[8]Delivery Order'!D28</f>
        <v>0</v>
      </c>
      <c r="C69" s="953">
        <f>'[8]Delivery Order'!E28</f>
        <v>0</v>
      </c>
      <c r="D69" s="954" t="str">
        <f>'[8]Delivery Order'!F28</f>
        <v>HP</v>
      </c>
      <c r="E69" s="954">
        <f>'[8]Delivery Order'!G28</f>
        <v>0</v>
      </c>
      <c r="F69" s="954" t="str">
        <f>'[8]Delivery Order'!H28</f>
        <v>V</v>
      </c>
      <c r="G69" s="954">
        <f>'[8]Delivery Order'!I28</f>
        <v>0</v>
      </c>
      <c r="H69" s="954" t="str">
        <f>'[8]Delivery Order'!J28</f>
        <v>A</v>
      </c>
      <c r="I69" s="920">
        <f>'[8]Delivery Order'!K28</f>
        <v>0</v>
      </c>
      <c r="J69" s="927"/>
      <c r="K69" s="930"/>
      <c r="L69" s="854" t="s">
        <v>765</v>
      </c>
      <c r="M69" s="931">
        <f>B69/(10*2.545)</f>
        <v>0</v>
      </c>
      <c r="N69" s="923">
        <f>'[8]Delivery Order'!M28</f>
        <v>0</v>
      </c>
    </row>
    <row r="70" spans="1:14" ht="18" customHeight="1">
      <c r="A70" s="924"/>
      <c r="B70" s="920"/>
      <c r="C70" s="941"/>
      <c r="D70" s="926"/>
      <c r="E70" s="926"/>
      <c r="F70" s="926"/>
      <c r="G70" s="926"/>
      <c r="I70" s="920"/>
      <c r="J70" s="927"/>
      <c r="K70" s="904"/>
      <c r="L70" s="920"/>
      <c r="M70" s="904"/>
      <c r="N70" s="923"/>
    </row>
    <row r="71" spans="1:14" ht="18" customHeight="1">
      <c r="A71" s="924"/>
      <c r="B71" s="920"/>
      <c r="C71" s="941"/>
      <c r="D71" s="926"/>
      <c r="E71" s="926"/>
      <c r="F71" s="926"/>
      <c r="G71" s="926"/>
      <c r="H71" s="904"/>
      <c r="I71" s="920"/>
      <c r="J71" s="927"/>
      <c r="K71" s="904"/>
      <c r="L71" s="918"/>
      <c r="M71" s="931"/>
      <c r="N71" s="923"/>
    </row>
    <row r="72" spans="1:14" ht="18" customHeight="1">
      <c r="A72" s="934"/>
      <c r="B72" s="920"/>
      <c r="C72" s="938"/>
      <c r="D72" s="855"/>
      <c r="E72" s="855"/>
      <c r="F72" s="855"/>
      <c r="G72" s="855"/>
      <c r="H72" s="904"/>
      <c r="I72" s="920"/>
      <c r="J72" s="927"/>
      <c r="K72" s="904"/>
      <c r="L72" s="935"/>
      <c r="M72" s="931"/>
      <c r="N72" s="923"/>
    </row>
    <row r="73" spans="1:14" ht="18" customHeight="1">
      <c r="A73" s="924"/>
      <c r="B73" s="920"/>
      <c r="C73" s="941"/>
      <c r="D73" s="926"/>
      <c r="E73" s="926"/>
      <c r="F73" s="926"/>
      <c r="G73" s="926"/>
      <c r="H73" s="904"/>
      <c r="I73" s="920"/>
      <c r="J73" s="927"/>
      <c r="K73" s="930"/>
      <c r="M73" s="931"/>
      <c r="N73" s="923"/>
    </row>
    <row r="74" spans="1:14" ht="18" customHeight="1">
      <c r="A74" s="924"/>
      <c r="B74" s="920"/>
      <c r="C74" s="939"/>
      <c r="D74" s="936"/>
      <c r="E74" s="936"/>
      <c r="F74" s="936"/>
      <c r="G74" s="936"/>
      <c r="H74" s="904"/>
      <c r="I74" s="920"/>
      <c r="J74" s="927"/>
      <c r="K74" s="904"/>
      <c r="L74" s="920"/>
      <c r="M74" s="904"/>
      <c r="N74" s="923"/>
    </row>
    <row r="75" spans="1:14" ht="18" customHeight="1">
      <c r="A75" s="924"/>
      <c r="B75" s="920"/>
      <c r="C75" s="939"/>
      <c r="D75" s="936"/>
      <c r="E75" s="936"/>
      <c r="F75" s="936"/>
      <c r="G75" s="936"/>
      <c r="H75" s="904"/>
      <c r="I75" s="920"/>
      <c r="J75" s="927"/>
      <c r="K75" s="904"/>
      <c r="L75" s="920"/>
      <c r="M75" s="904"/>
      <c r="N75" s="923"/>
    </row>
    <row r="76" spans="1:14" ht="18" customHeight="1">
      <c r="A76" s="924" t="s">
        <v>766</v>
      </c>
      <c r="B76" s="920"/>
      <c r="C76" s="941"/>
      <c r="D76" s="926"/>
      <c r="E76" s="926"/>
      <c r="F76" s="926"/>
      <c r="G76" s="926"/>
      <c r="H76" s="904"/>
      <c r="I76" s="920"/>
      <c r="J76" s="927"/>
      <c r="K76" s="904"/>
      <c r="L76" s="920"/>
      <c r="M76" s="904"/>
      <c r="N76" s="923"/>
    </row>
    <row r="77" spans="1:14" ht="18" customHeight="1">
      <c r="A77" s="924" t="s">
        <v>767</v>
      </c>
      <c r="B77" s="920" t="s">
        <v>768</v>
      </c>
      <c r="C77" s="938" t="str">
        <f>'[8]Delivery Order'!D30</f>
        <v>Phoenix</v>
      </c>
      <c r="D77" s="855"/>
      <c r="E77" s="855"/>
      <c r="F77" s="855"/>
      <c r="G77" s="855"/>
      <c r="H77" s="904"/>
      <c r="I77" s="920"/>
      <c r="J77" s="927"/>
      <c r="K77" s="904"/>
      <c r="L77" s="918" t="s">
        <v>769</v>
      </c>
      <c r="M77" s="931"/>
      <c r="N77" s="923">
        <v>2.4300000000000002</v>
      </c>
    </row>
    <row r="78" spans="1:14" ht="18" customHeight="1">
      <c r="A78" s="924"/>
      <c r="B78" s="920"/>
      <c r="C78" s="938"/>
      <c r="D78" s="855"/>
      <c r="E78" s="855"/>
      <c r="F78" s="855"/>
      <c r="G78" s="855"/>
      <c r="H78" s="904"/>
      <c r="I78" s="920"/>
      <c r="J78" s="927"/>
      <c r="K78" s="904"/>
      <c r="L78" s="937"/>
      <c r="M78" s="904"/>
      <c r="N78" s="923"/>
    </row>
    <row r="79" spans="1:14" ht="18" customHeight="1">
      <c r="A79" s="924" t="str">
        <f>'[8]Delivery Order'!B31</f>
        <v xml:space="preserve">Motor Shroud </v>
      </c>
      <c r="B79" s="920" t="str">
        <f>'[8]Delivery Order'!D31</f>
        <v>N/A</v>
      </c>
      <c r="C79" s="938" t="str">
        <f>'[8]Delivery Order'!E31</f>
        <v>For</v>
      </c>
      <c r="D79" s="855" t="str">
        <f>'[8]Delivery Order'!F31</f>
        <v>9 5/8"</v>
      </c>
      <c r="E79" s="855" t="str">
        <f>'[8]Delivery Order'!G31</f>
        <v>Casing</v>
      </c>
      <c r="F79" s="855"/>
      <c r="G79" s="855"/>
      <c r="H79" s="904"/>
      <c r="I79" s="920" t="str">
        <f>IF('[8]Delivery Order'!D31="N/A","N/A",SUM(N28,N36,N44,N49,N66,N69,N77,N82))</f>
        <v>N/A</v>
      </c>
      <c r="J79" s="927"/>
      <c r="K79" s="904"/>
      <c r="L79" s="937"/>
      <c r="M79" s="904"/>
      <c r="N79" s="923"/>
    </row>
    <row r="80" spans="1:14" ht="18" customHeight="1">
      <c r="A80" s="924"/>
      <c r="B80" s="920"/>
      <c r="C80" s="938"/>
      <c r="D80" s="855"/>
      <c r="E80" s="855"/>
      <c r="F80" s="855"/>
      <c r="G80" s="855"/>
      <c r="H80" s="904"/>
      <c r="I80" s="920"/>
      <c r="J80" s="927"/>
      <c r="K80" s="904"/>
      <c r="L80" s="937"/>
      <c r="M80" s="904"/>
      <c r="N80" s="923"/>
    </row>
    <row r="81" spans="1:14" ht="18" customHeight="1">
      <c r="A81" s="924" t="s">
        <v>770</v>
      </c>
      <c r="B81" s="920"/>
      <c r="C81" s="938"/>
      <c r="D81" s="855"/>
      <c r="E81" s="855"/>
      <c r="F81" s="855"/>
      <c r="G81" s="855"/>
      <c r="H81" s="855"/>
      <c r="I81" s="920"/>
      <c r="J81" s="927"/>
      <c r="K81" s="904"/>
      <c r="L81" s="920"/>
      <c r="M81" s="904"/>
      <c r="N81" s="923"/>
    </row>
    <row r="82" spans="1:14" ht="18" customHeight="1">
      <c r="A82" s="958" t="s">
        <v>771</v>
      </c>
      <c r="B82" s="920"/>
      <c r="C82" s="938" t="s">
        <v>772</v>
      </c>
      <c r="D82" s="959" t="str">
        <f>'[8]Delivery Order'!D33</f>
        <v>9 5/8"</v>
      </c>
      <c r="E82" s="855" t="s">
        <v>773</v>
      </c>
      <c r="F82" s="855"/>
      <c r="G82" s="855"/>
      <c r="H82" s="909"/>
      <c r="I82" s="920"/>
      <c r="J82" s="927"/>
      <c r="K82" s="904"/>
      <c r="L82" s="920"/>
      <c r="M82" s="960">
        <f>IF(D82=7,5.62,IF(D82="N/A"," ",8))</f>
        <v>8</v>
      </c>
      <c r="N82" s="923">
        <v>2.1</v>
      </c>
    </row>
    <row r="83" spans="1:14" ht="18" customHeight="1">
      <c r="A83" s="934"/>
      <c r="B83" s="920"/>
      <c r="C83" s="939"/>
      <c r="D83" s="936"/>
      <c r="E83" s="936"/>
      <c r="F83" s="936"/>
      <c r="G83" s="936"/>
      <c r="H83" s="904"/>
      <c r="I83" s="920"/>
      <c r="J83" s="927"/>
      <c r="K83" s="930"/>
      <c r="L83" s="920"/>
      <c r="M83" s="904"/>
      <c r="N83" s="923"/>
    </row>
    <row r="84" spans="1:14" ht="18" customHeight="1">
      <c r="A84" s="961"/>
      <c r="B84" s="962"/>
      <c r="C84" s="963"/>
      <c r="D84" s="964"/>
      <c r="E84" s="964"/>
      <c r="F84" s="964"/>
      <c r="G84" s="964"/>
      <c r="H84" s="893"/>
      <c r="I84" s="962"/>
      <c r="J84" s="965"/>
      <c r="K84" s="966"/>
      <c r="L84" s="967"/>
      <c r="M84" s="968"/>
      <c r="N84" s="969"/>
    </row>
    <row r="85" spans="1:14" ht="15" customHeight="1">
      <c r="A85" s="916"/>
      <c r="C85" s="855"/>
      <c r="D85" s="855"/>
      <c r="E85" s="855"/>
      <c r="F85" s="855"/>
      <c r="G85" s="855"/>
      <c r="H85" s="854"/>
      <c r="I85" s="871"/>
      <c r="J85" s="927"/>
      <c r="K85" s="904"/>
      <c r="M85" s="970" t="s">
        <v>774</v>
      </c>
      <c r="N85" s="971">
        <f>SUM(N26:N83)-N63</f>
        <v>89.54000000000002</v>
      </c>
    </row>
    <row r="86" spans="1:14" ht="15" customHeight="1" thickBot="1">
      <c r="A86" s="972"/>
      <c r="B86" s="973"/>
      <c r="C86" s="974"/>
      <c r="D86" s="974"/>
      <c r="E86" s="974"/>
      <c r="F86" s="974"/>
      <c r="G86" s="974"/>
      <c r="H86" s="974"/>
      <c r="I86" s="973"/>
      <c r="J86" s="975"/>
      <c r="K86" s="974"/>
      <c r="L86" s="974"/>
      <c r="M86" s="976"/>
      <c r="N86" s="977"/>
    </row>
    <row r="87" spans="1:14" ht="15" customHeight="1">
      <c r="A87" s="1252" t="s">
        <v>775</v>
      </c>
      <c r="B87" s="1253"/>
      <c r="C87" s="1254" t="s">
        <v>776</v>
      </c>
      <c r="D87" s="1255"/>
      <c r="E87" s="1255"/>
      <c r="F87" s="1255"/>
      <c r="G87" s="1255"/>
      <c r="H87" s="1255"/>
      <c r="I87" s="1220" t="s">
        <v>775</v>
      </c>
      <c r="J87" s="1221"/>
      <c r="K87" s="1222"/>
      <c r="L87" s="1223" t="s">
        <v>776</v>
      </c>
      <c r="M87" s="1224"/>
      <c r="N87" s="978" t="s">
        <v>540</v>
      </c>
    </row>
    <row r="88" spans="1:14" ht="15" customHeight="1">
      <c r="A88" s="1225" t="s">
        <v>777</v>
      </c>
      <c r="B88" s="1228" t="s">
        <v>778</v>
      </c>
      <c r="C88" s="1214"/>
      <c r="D88" s="1231"/>
      <c r="E88" s="1231"/>
      <c r="F88" s="1231"/>
      <c r="G88" s="1231"/>
      <c r="H88" s="1215"/>
      <c r="I88" s="1208" t="s">
        <v>779</v>
      </c>
      <c r="J88" s="1237"/>
      <c r="K88" s="1211"/>
      <c r="L88" s="1240"/>
      <c r="M88" s="1241"/>
      <c r="N88" s="1206"/>
    </row>
    <row r="89" spans="1:14" ht="15" customHeight="1">
      <c r="A89" s="1226"/>
      <c r="B89" s="1229"/>
      <c r="C89" s="1232"/>
      <c r="D89" s="1233"/>
      <c r="E89" s="1233"/>
      <c r="F89" s="1233"/>
      <c r="G89" s="1233"/>
      <c r="H89" s="1234"/>
      <c r="I89" s="1236"/>
      <c r="J89" s="1238"/>
      <c r="K89" s="1239"/>
      <c r="L89" s="1242"/>
      <c r="M89" s="1243"/>
      <c r="N89" s="1207"/>
    </row>
    <row r="90" spans="1:14" ht="15" customHeight="1">
      <c r="A90" s="1226"/>
      <c r="B90" s="1229"/>
      <c r="C90" s="1232"/>
      <c r="D90" s="1233"/>
      <c r="E90" s="1233"/>
      <c r="F90" s="1233"/>
      <c r="G90" s="1233"/>
      <c r="H90" s="1234"/>
      <c r="I90" s="1208" t="s">
        <v>780</v>
      </c>
      <c r="J90" s="1210"/>
      <c r="K90" s="1211"/>
      <c r="L90" s="1214"/>
      <c r="M90" s="1215"/>
      <c r="N90" s="1218"/>
    </row>
    <row r="91" spans="1:14" ht="15" customHeight="1" thickBot="1">
      <c r="A91" s="1227"/>
      <c r="B91" s="1230"/>
      <c r="C91" s="1216"/>
      <c r="D91" s="1235"/>
      <c r="E91" s="1235"/>
      <c r="F91" s="1235"/>
      <c r="G91" s="1235"/>
      <c r="H91" s="1217"/>
      <c r="I91" s="1209"/>
      <c r="J91" s="1212"/>
      <c r="K91" s="1213"/>
      <c r="L91" s="1216"/>
      <c r="M91" s="1217"/>
      <c r="N91" s="1219"/>
    </row>
    <row r="92" spans="1:14" ht="15" customHeight="1" thickTop="1">
      <c r="A92" s="887"/>
      <c r="B92" s="979"/>
      <c r="I92" s="896"/>
      <c r="J92" s="887"/>
      <c r="K92" s="887"/>
      <c r="L92" s="886"/>
      <c r="M92" s="886"/>
    </row>
    <row r="93" spans="1:14" ht="15" customHeight="1">
      <c r="A93" s="887"/>
      <c r="B93" s="896"/>
      <c r="C93" s="855"/>
      <c r="D93" s="855"/>
      <c r="E93" s="855"/>
      <c r="F93" s="855"/>
      <c r="G93" s="855"/>
      <c r="I93" s="896"/>
      <c r="J93" s="980"/>
      <c r="K93" s="887"/>
      <c r="L93" s="886"/>
      <c r="M93" s="886"/>
    </row>
    <row r="94" spans="1:14" ht="15" customHeight="1">
      <c r="A94" s="887"/>
      <c r="B94" s="896"/>
      <c r="I94" s="896"/>
      <c r="J94" s="887"/>
      <c r="K94" s="887"/>
      <c r="L94" s="887"/>
      <c r="M94" s="887"/>
      <c r="N94" s="887"/>
    </row>
    <row r="95" spans="1:14" ht="15" customHeight="1">
      <c r="A95" s="887"/>
      <c r="B95" s="896"/>
      <c r="I95" s="896"/>
      <c r="J95" s="887"/>
      <c r="K95" s="887"/>
      <c r="L95" s="887"/>
      <c r="M95" s="887"/>
      <c r="N95" s="887"/>
    </row>
    <row r="96" spans="1:14" ht="15" customHeight="1">
      <c r="A96" s="887"/>
      <c r="B96" s="896"/>
      <c r="I96" s="896"/>
      <c r="J96" s="887"/>
      <c r="K96" s="887"/>
      <c r="L96" s="887"/>
      <c r="M96" s="887"/>
      <c r="N96" s="887"/>
    </row>
    <row r="97" spans="1:14" ht="15" customHeight="1">
      <c r="A97" s="887"/>
      <c r="B97" s="896"/>
      <c r="J97" s="904"/>
      <c r="K97" s="887"/>
      <c r="L97" s="887"/>
      <c r="M97" s="887"/>
      <c r="N97" s="887"/>
    </row>
    <row r="98" spans="1:14" ht="15" customHeight="1">
      <c r="A98" s="887"/>
      <c r="B98" s="896"/>
      <c r="J98" s="904"/>
      <c r="K98" s="887"/>
      <c r="L98" s="887"/>
      <c r="M98" s="887"/>
      <c r="N98" s="887"/>
    </row>
    <row r="99" spans="1:14" ht="15" customHeight="1">
      <c r="J99" s="904"/>
    </row>
    <row r="100" spans="1:14" ht="15" customHeight="1">
      <c r="J100" s="904"/>
    </row>
    <row r="101" spans="1:14" ht="15" customHeight="1">
      <c r="J101" s="904"/>
    </row>
  </sheetData>
  <mergeCells count="51">
    <mergeCell ref="A1:N4"/>
    <mergeCell ref="M5:N5"/>
    <mergeCell ref="E6:G6"/>
    <mergeCell ref="J6:K6"/>
    <mergeCell ref="B10:C10"/>
    <mergeCell ref="D10:H10"/>
    <mergeCell ref="B17:C17"/>
    <mergeCell ref="D17:H17"/>
    <mergeCell ref="B11:C11"/>
    <mergeCell ref="D11:H11"/>
    <mergeCell ref="B12:C12"/>
    <mergeCell ref="D12:H12"/>
    <mergeCell ref="B13:C13"/>
    <mergeCell ref="D13:H13"/>
    <mergeCell ref="B14:C14"/>
    <mergeCell ref="D14:H14"/>
    <mergeCell ref="B15:C15"/>
    <mergeCell ref="D15:H15"/>
    <mergeCell ref="D16:H16"/>
    <mergeCell ref="F36:H36"/>
    <mergeCell ref="B18:C18"/>
    <mergeCell ref="D18:H18"/>
    <mergeCell ref="B19:C19"/>
    <mergeCell ref="D19:H19"/>
    <mergeCell ref="B20:C20"/>
    <mergeCell ref="D20:H20"/>
    <mergeCell ref="D21:H21"/>
    <mergeCell ref="D22:H22"/>
    <mergeCell ref="C23:H23"/>
    <mergeCell ref="C24:H24"/>
    <mergeCell ref="F28:H28"/>
    <mergeCell ref="F37:H37"/>
    <mergeCell ref="C44:H44"/>
    <mergeCell ref="C49:H49"/>
    <mergeCell ref="C53:H53"/>
    <mergeCell ref="C63:H63"/>
    <mergeCell ref="I87:K87"/>
    <mergeCell ref="L87:M87"/>
    <mergeCell ref="A88:A91"/>
    <mergeCell ref="B88:B91"/>
    <mergeCell ref="C88:H91"/>
    <mergeCell ref="I88:I89"/>
    <mergeCell ref="J88:K89"/>
    <mergeCell ref="L88:M89"/>
    <mergeCell ref="A87:B87"/>
    <mergeCell ref="C87:H87"/>
    <mergeCell ref="N88:N89"/>
    <mergeCell ref="I90:I91"/>
    <mergeCell ref="J90:K91"/>
    <mergeCell ref="L90:M91"/>
    <mergeCell ref="N90:N91"/>
  </mergeCells>
  <printOptions horizontalCentered="1" verticalCentered="1"/>
  <pageMargins left="0.70866141732283505" right="0.27559055118110198" top="0.56999999999999995" bottom="0.6" header="0.43307086614173201" footer="0.37"/>
  <pageSetup paperSize="9" scale="20" orientation="portrait" r:id="rId1"/>
  <headerFooter alignWithMargins="0">
    <oddHeader>&amp;R&amp;"Arial,Regular"&amp;9Ref No.&amp;D-01</oddHeader>
    <oddFooter>&amp;L&amp;"Times New Roman,Regular"&amp;10PHE OSES .ESP Runlife Service Pakage C&amp;R&amp;"Times New Roman,Regular"&amp;10Contract No.:4710002132</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F7423-5142-4066-8E40-DBFE15207D34}">
  <sheetPr>
    <pageSetUpPr fitToPage="1"/>
  </sheetPr>
  <dimension ref="B2:S52"/>
  <sheetViews>
    <sheetView tabSelected="1" zoomScaleNormal="100" workbookViewId="0">
      <selection activeCell="K12" sqref="K12:K18"/>
    </sheetView>
  </sheetViews>
  <sheetFormatPr defaultColWidth="9.140625" defaultRowHeight="15"/>
  <cols>
    <col min="1" max="1" width="5.7109375" style="24" customWidth="1"/>
    <col min="2" max="2" width="3.7109375" style="24" customWidth="1"/>
    <col min="3" max="3" width="11" style="24" customWidth="1"/>
    <col min="4" max="4" width="4.28515625" style="24" customWidth="1"/>
    <col min="5" max="5" width="13.7109375" style="24" customWidth="1"/>
    <col min="6" max="6" width="20.140625" style="24" customWidth="1"/>
    <col min="7" max="7" width="12.85546875" style="24" customWidth="1"/>
    <col min="8" max="8" width="11.140625" style="24" customWidth="1"/>
    <col min="9" max="9" width="12.42578125" style="24" customWidth="1"/>
    <col min="10" max="10" width="8" style="24" customWidth="1"/>
    <col min="11" max="11" width="10.5703125" style="24" customWidth="1"/>
    <col min="12" max="12" width="4.140625" style="24" customWidth="1"/>
    <col min="13" max="13" width="9.28515625" style="24" customWidth="1"/>
    <col min="14" max="16384" width="9.140625" style="24"/>
  </cols>
  <sheetData>
    <row r="2" spans="2:19">
      <c r="B2" s="19"/>
      <c r="C2" s="20"/>
      <c r="D2" s="20"/>
      <c r="E2" s="20"/>
      <c r="F2" s="20"/>
      <c r="G2" s="20"/>
      <c r="H2" s="20"/>
      <c r="I2" s="20"/>
      <c r="J2" s="20"/>
      <c r="K2" s="20"/>
      <c r="L2" s="22"/>
      <c r="O2" s="1300"/>
      <c r="P2" s="1300"/>
      <c r="Q2" s="1300"/>
      <c r="R2" s="1300"/>
      <c r="S2" s="1300"/>
    </row>
    <row r="3" spans="2:19" ht="24.75" customHeight="1">
      <c r="B3" s="23"/>
      <c r="C3" s="981"/>
      <c r="E3" s="1321" t="s">
        <v>781</v>
      </c>
      <c r="F3" s="1321"/>
      <c r="G3" s="1321"/>
      <c r="H3" s="1321"/>
      <c r="I3" s="1321"/>
      <c r="K3" s="981" t="s">
        <v>782</v>
      </c>
      <c r="L3" s="25"/>
      <c r="O3" s="982"/>
      <c r="P3" s="982"/>
      <c r="Q3" s="982"/>
      <c r="R3" s="982"/>
      <c r="S3" s="982"/>
    </row>
    <row r="4" spans="2:19" ht="9.75" customHeight="1">
      <c r="B4" s="23"/>
      <c r="E4" s="1322" t="s">
        <v>783</v>
      </c>
      <c r="F4" s="1322"/>
      <c r="G4" s="1322"/>
      <c r="H4" s="1322"/>
      <c r="I4" s="1322"/>
      <c r="L4" s="25"/>
    </row>
    <row r="5" spans="2:19" ht="15" customHeight="1">
      <c r="B5" s="23"/>
      <c r="C5" s="1323" t="s">
        <v>784</v>
      </c>
      <c r="E5"/>
      <c r="F5" s="1324" t="s">
        <v>351</v>
      </c>
      <c r="G5" s="1324"/>
      <c r="H5" s="1324"/>
      <c r="I5"/>
      <c r="K5" s="983" t="s">
        <v>353</v>
      </c>
      <c r="L5" s="25"/>
    </row>
    <row r="6" spans="2:19" ht="25.5" customHeight="1">
      <c r="B6" s="23"/>
      <c r="C6" s="1323"/>
      <c r="E6"/>
      <c r="F6" s="1324"/>
      <c r="G6" s="1324"/>
      <c r="H6" s="1324"/>
      <c r="I6"/>
      <c r="K6" s="1325" t="s">
        <v>695</v>
      </c>
      <c r="L6" s="25"/>
    </row>
    <row r="7" spans="2:19" ht="15" customHeight="1">
      <c r="B7" s="23"/>
      <c r="C7" s="984" t="s">
        <v>785</v>
      </c>
      <c r="F7" s="573" t="s">
        <v>786</v>
      </c>
      <c r="G7" s="1327" t="s">
        <v>787</v>
      </c>
      <c r="H7" s="1328"/>
      <c r="K7" s="1326"/>
      <c r="L7" s="25"/>
    </row>
    <row r="8" spans="2:19">
      <c r="B8" s="23"/>
      <c r="C8" s="985">
        <v>590</v>
      </c>
      <c r="E8" s="27"/>
      <c r="F8" s="1316" t="s">
        <v>788</v>
      </c>
      <c r="G8" s="1316"/>
      <c r="H8" s="1316"/>
      <c r="I8" s="27"/>
      <c r="K8" s="986" t="s">
        <v>789</v>
      </c>
      <c r="L8" s="25"/>
    </row>
    <row r="9" spans="2:19">
      <c r="B9" s="23"/>
      <c r="C9" s="6" t="s">
        <v>790</v>
      </c>
      <c r="F9" s="32" t="s">
        <v>791</v>
      </c>
      <c r="G9" s="987" t="s">
        <v>792</v>
      </c>
      <c r="H9" s="988"/>
      <c r="L9" s="25"/>
    </row>
    <row r="10" spans="2:19">
      <c r="B10" s="23"/>
      <c r="E10" s="1301"/>
      <c r="F10" s="1301"/>
      <c r="G10" s="1301"/>
      <c r="H10" s="1301"/>
      <c r="I10" s="1301"/>
      <c r="L10" s="25"/>
    </row>
    <row r="11" spans="2:19" ht="30.75" customHeight="1">
      <c r="B11" s="23"/>
      <c r="C11" s="1317" t="s">
        <v>793</v>
      </c>
      <c r="D11" s="1318"/>
      <c r="E11" s="989" t="s">
        <v>794</v>
      </c>
      <c r="F11" s="989" t="s">
        <v>795</v>
      </c>
      <c r="G11" s="1319" t="s">
        <v>796</v>
      </c>
      <c r="H11" s="1320"/>
      <c r="I11" s="989" t="s">
        <v>797</v>
      </c>
      <c r="J11" s="989" t="s">
        <v>798</v>
      </c>
      <c r="K11" s="989" t="s">
        <v>799</v>
      </c>
      <c r="L11" s="25"/>
    </row>
    <row r="12" spans="2:19" ht="18.75" customHeight="1">
      <c r="B12" s="23"/>
      <c r="C12" s="1317">
        <v>0</v>
      </c>
      <c r="D12" s="1318"/>
      <c r="E12" s="989">
        <v>566085</v>
      </c>
      <c r="F12" s="989">
        <v>566085</v>
      </c>
      <c r="G12" s="989" t="s">
        <v>800</v>
      </c>
      <c r="H12" s="989" t="s">
        <v>801</v>
      </c>
      <c r="I12" s="1307">
        <f>5+(18-5)*(G18/(G18-H18))</f>
        <v>14.380019387721509</v>
      </c>
      <c r="J12" s="1307">
        <f>(G18+E12)/E12</f>
        <v>1.2728103765279095</v>
      </c>
      <c r="K12" s="1307">
        <f>C15+(C16-C15)*(-F15/(-F15+F16))</f>
        <v>3.6363646096526914</v>
      </c>
      <c r="L12" s="25"/>
    </row>
    <row r="13" spans="2:19">
      <c r="B13" s="23"/>
      <c r="C13" s="1310">
        <v>1</v>
      </c>
      <c r="D13" s="1311"/>
      <c r="E13" s="990">
        <v>130200</v>
      </c>
      <c r="F13" s="991">
        <f>-(F12-E13)</f>
        <v>-435885</v>
      </c>
      <c r="G13" s="992">
        <f>E13*(1/(1+0.05)^C13)</f>
        <v>124000</v>
      </c>
      <c r="H13" s="992">
        <f>E13*(1/(1+0.18)^C13)</f>
        <v>110338.98305084747</v>
      </c>
      <c r="I13" s="1308"/>
      <c r="J13" s="1308"/>
      <c r="K13" s="1308"/>
      <c r="L13" s="25"/>
    </row>
    <row r="14" spans="2:19">
      <c r="B14" s="23"/>
      <c r="C14" s="1310">
        <v>2</v>
      </c>
      <c r="D14" s="1311"/>
      <c r="E14" s="990">
        <v>147182</v>
      </c>
      <c r="F14" s="991">
        <f>F13+E14</f>
        <v>-288703</v>
      </c>
      <c r="G14" s="992">
        <f t="shared" ref="G14:G17" si="0">E14*(1/(1+0.05)^C14)</f>
        <v>133498.41269841269</v>
      </c>
      <c r="H14" s="992">
        <f>E14*(1/(1+0.18)^C14)</f>
        <v>105703.82074116635</v>
      </c>
      <c r="I14" s="1308"/>
      <c r="J14" s="1308"/>
      <c r="K14" s="1308"/>
      <c r="L14" s="25"/>
    </row>
    <row r="15" spans="2:19">
      <c r="B15" s="23"/>
      <c r="C15" s="1310">
        <v>3</v>
      </c>
      <c r="D15" s="1311"/>
      <c r="E15" s="990">
        <v>169825</v>
      </c>
      <c r="F15" s="991">
        <f>F14+E15</f>
        <v>-118878</v>
      </c>
      <c r="G15" s="992">
        <f t="shared" si="0"/>
        <v>146701.22017060791</v>
      </c>
      <c r="H15" s="992">
        <f>E15*(1/(1+0.18)^C15)</f>
        <v>103360.73795276051</v>
      </c>
      <c r="I15" s="1308"/>
      <c r="J15" s="1308"/>
      <c r="K15" s="1308"/>
      <c r="L15" s="25"/>
    </row>
    <row r="16" spans="2:19">
      <c r="B16" s="23"/>
      <c r="C16" s="1310">
        <v>4</v>
      </c>
      <c r="D16" s="1311"/>
      <c r="E16" s="990">
        <v>186808</v>
      </c>
      <c r="F16" s="993">
        <f>F15+E16</f>
        <v>67930</v>
      </c>
      <c r="G16" s="992">
        <f t="shared" si="0"/>
        <v>153687.40391092189</v>
      </c>
      <c r="H16" s="992">
        <f>E16*(1/(1+0.18)^C16)</f>
        <v>96353.488189383817</v>
      </c>
      <c r="I16" s="1308"/>
      <c r="J16" s="1308"/>
      <c r="K16" s="1308"/>
      <c r="L16" s="25"/>
    </row>
    <row r="17" spans="2:12">
      <c r="B17" s="23"/>
      <c r="C17" s="1312">
        <v>5</v>
      </c>
      <c r="D17" s="1312"/>
      <c r="E17" s="994">
        <v>207564</v>
      </c>
      <c r="F17" s="993">
        <f>F16+E17</f>
        <v>275494</v>
      </c>
      <c r="G17" s="992">
        <f t="shared" si="0"/>
        <v>162631.82521685923</v>
      </c>
      <c r="H17" s="992">
        <f>E17*(1/(1+0.18)^C17)</f>
        <v>90728.137357658939</v>
      </c>
      <c r="I17" s="1308"/>
      <c r="J17" s="1308"/>
      <c r="K17" s="1308"/>
      <c r="L17" s="25"/>
    </row>
    <row r="18" spans="2:12">
      <c r="B18" s="23"/>
      <c r="C18" s="1313" t="s">
        <v>802</v>
      </c>
      <c r="D18" s="1314"/>
      <c r="E18" s="1314"/>
      <c r="F18" s="1315"/>
      <c r="G18" s="995">
        <f>G13+G14+G15+G16+G17-E12</f>
        <v>154433.86199680169</v>
      </c>
      <c r="H18" s="996">
        <f>H13+H14+H15+H16+H17-E12</f>
        <v>-59599.832708182919</v>
      </c>
      <c r="I18" s="1309"/>
      <c r="J18" s="1309"/>
      <c r="K18" s="1309"/>
      <c r="L18" s="25"/>
    </row>
    <row r="19" spans="2:12">
      <c r="B19" s="23"/>
      <c r="C19" s="1302"/>
      <c r="D19" s="1302"/>
      <c r="E19" s="1303"/>
      <c r="F19" s="1303"/>
      <c r="G19" s="1303"/>
      <c r="H19" s="1303"/>
      <c r="I19" s="1304"/>
      <c r="J19" s="1304"/>
      <c r="K19" s="1304"/>
      <c r="L19" s="25"/>
    </row>
    <row r="20" spans="2:12">
      <c r="B20" s="23"/>
      <c r="E20" s="24" t="s">
        <v>41</v>
      </c>
      <c r="L20" s="25" t="s">
        <v>41</v>
      </c>
    </row>
    <row r="21" spans="2:12" ht="23.45" customHeight="1">
      <c r="B21" s="23"/>
      <c r="E21" s="1301" t="s">
        <v>803</v>
      </c>
      <c r="F21" s="1301"/>
      <c r="G21" s="1301"/>
      <c r="H21" s="1301"/>
      <c r="I21" s="1301"/>
      <c r="L21" s="25"/>
    </row>
    <row r="22" spans="2:12">
      <c r="B22" s="23"/>
      <c r="E22" s="997" t="s">
        <v>804</v>
      </c>
      <c r="F22" s="997" t="s">
        <v>805</v>
      </c>
      <c r="G22" s="997" t="s">
        <v>806</v>
      </c>
      <c r="H22" s="997" t="s">
        <v>807</v>
      </c>
      <c r="I22" s="997" t="s">
        <v>808</v>
      </c>
      <c r="L22" s="25"/>
    </row>
    <row r="23" spans="2:12">
      <c r="B23" s="23"/>
      <c r="D23" s="1305" t="s">
        <v>375</v>
      </c>
      <c r="E23" s="994" t="s">
        <v>548</v>
      </c>
      <c r="F23" s="994">
        <v>146</v>
      </c>
      <c r="G23" s="994" t="s">
        <v>809</v>
      </c>
      <c r="H23" s="994" t="s">
        <v>810</v>
      </c>
      <c r="I23" s="998" t="s">
        <v>811</v>
      </c>
      <c r="J23" s="1306"/>
      <c r="L23" s="25"/>
    </row>
    <row r="24" spans="2:12">
      <c r="B24" s="23"/>
      <c r="D24" s="1305"/>
      <c r="E24" s="994" t="s">
        <v>118</v>
      </c>
      <c r="F24" s="994">
        <v>273</v>
      </c>
      <c r="G24" s="994" t="s">
        <v>368</v>
      </c>
      <c r="H24" s="994" t="s">
        <v>810</v>
      </c>
      <c r="I24" s="998" t="s">
        <v>812</v>
      </c>
      <c r="J24" s="1306"/>
      <c r="L24" s="25"/>
    </row>
    <row r="25" spans="2:12">
      <c r="B25" s="23"/>
      <c r="D25" s="1305"/>
      <c r="E25" s="994" t="s">
        <v>117</v>
      </c>
      <c r="F25" s="994" t="s">
        <v>813</v>
      </c>
      <c r="G25" s="994"/>
      <c r="H25" s="994" t="s">
        <v>810</v>
      </c>
      <c r="I25" s="994" t="s">
        <v>814</v>
      </c>
      <c r="J25" s="1306"/>
      <c r="L25" s="25"/>
    </row>
    <row r="26" spans="2:12">
      <c r="B26" s="23"/>
      <c r="D26" s="1305"/>
      <c r="E26" s="994" t="s">
        <v>815</v>
      </c>
      <c r="F26" s="994" t="s">
        <v>187</v>
      </c>
      <c r="G26" s="994" t="s">
        <v>816</v>
      </c>
      <c r="H26" s="994" t="s">
        <v>810</v>
      </c>
      <c r="I26" s="994" t="s">
        <v>817</v>
      </c>
      <c r="J26" s="1306"/>
      <c r="L26" s="25"/>
    </row>
    <row r="27" spans="2:12" ht="15" customHeight="1">
      <c r="B27" s="23"/>
      <c r="D27" s="1305"/>
      <c r="E27" s="994" t="s">
        <v>557</v>
      </c>
      <c r="F27" s="994">
        <v>5096</v>
      </c>
      <c r="G27" s="994" t="s">
        <v>98</v>
      </c>
      <c r="H27" s="994" t="s">
        <v>810</v>
      </c>
      <c r="I27" s="994" t="s">
        <v>818</v>
      </c>
      <c r="J27" s="1306"/>
      <c r="L27" s="25"/>
    </row>
    <row r="28" spans="2:12">
      <c r="B28" s="23"/>
      <c r="D28" s="1305"/>
      <c r="E28" s="994" t="s">
        <v>563</v>
      </c>
      <c r="F28" s="994">
        <v>390</v>
      </c>
      <c r="G28" s="994" t="s">
        <v>156</v>
      </c>
      <c r="H28" s="994" t="s">
        <v>810</v>
      </c>
      <c r="I28" s="994" t="s">
        <v>819</v>
      </c>
      <c r="J28" s="1306"/>
      <c r="L28" s="25"/>
    </row>
    <row r="29" spans="2:12">
      <c r="B29" s="23"/>
      <c r="L29" s="25"/>
    </row>
    <row r="30" spans="2:12">
      <c r="B30" s="23"/>
      <c r="L30" s="25"/>
    </row>
    <row r="31" spans="2:12">
      <c r="B31" s="23"/>
      <c r="L31" s="25"/>
    </row>
    <row r="32" spans="2:12">
      <c r="B32" s="23"/>
      <c r="E32" s="1301" t="s">
        <v>820</v>
      </c>
      <c r="F32" s="1301"/>
      <c r="G32" s="48"/>
      <c r="H32" s="1301" t="s">
        <v>821</v>
      </c>
      <c r="I32" s="1301"/>
      <c r="L32" s="25"/>
    </row>
    <row r="33" spans="2:12">
      <c r="B33" s="23"/>
      <c r="L33" s="25"/>
    </row>
    <row r="34" spans="2:12">
      <c r="B34" s="23"/>
      <c r="L34" s="25"/>
    </row>
    <row r="35" spans="2:12">
      <c r="B35" s="23"/>
      <c r="L35" s="25"/>
    </row>
    <row r="36" spans="2:12">
      <c r="B36" s="23"/>
      <c r="E36" s="1300"/>
      <c r="F36" s="1300"/>
      <c r="H36" s="1300"/>
      <c r="I36" s="1300"/>
      <c r="L36" s="25"/>
    </row>
    <row r="37" spans="2:12">
      <c r="B37" s="23"/>
      <c r="L37" s="25"/>
    </row>
    <row r="38" spans="2:12">
      <c r="B38" s="23"/>
      <c r="E38" s="1301" t="s">
        <v>822</v>
      </c>
      <c r="F38" s="1301"/>
      <c r="H38" s="1301" t="s">
        <v>823</v>
      </c>
      <c r="I38" s="1301"/>
      <c r="L38" s="25"/>
    </row>
    <row r="39" spans="2:12">
      <c r="B39" s="26"/>
      <c r="C39" s="27"/>
      <c r="D39" s="27"/>
      <c r="E39" s="27"/>
      <c r="F39" s="27"/>
      <c r="G39" s="27"/>
      <c r="H39" s="27"/>
      <c r="I39" s="27"/>
      <c r="J39" s="27"/>
      <c r="K39" s="27"/>
      <c r="L39" s="28"/>
    </row>
    <row r="42" spans="2:12">
      <c r="E42" s="1300"/>
      <c r="F42" s="1300"/>
      <c r="H42" s="1300"/>
      <c r="I42" s="1300"/>
    </row>
    <row r="45" spans="2:12">
      <c r="E45" s="1300"/>
      <c r="F45" s="1300"/>
      <c r="G45" s="1300"/>
      <c r="H45" s="1300"/>
      <c r="I45" s="1300"/>
    </row>
    <row r="47" spans="2:12">
      <c r="E47" s="1299"/>
      <c r="F47" s="1299"/>
      <c r="G47" s="1300"/>
      <c r="H47" s="1300"/>
    </row>
    <row r="48" spans="2:12">
      <c r="E48" s="1299"/>
      <c r="F48" s="1299"/>
      <c r="G48" s="1300"/>
      <c r="H48" s="1300"/>
      <c r="I48" s="982"/>
    </row>
    <row r="49" spans="5:9">
      <c r="E49" s="1299"/>
      <c r="F49" s="1299"/>
      <c r="G49" s="1300"/>
      <c r="H49" s="1300"/>
      <c r="I49" s="982"/>
    </row>
    <row r="50" spans="5:9">
      <c r="E50" s="1299"/>
      <c r="F50" s="1299"/>
      <c r="G50" s="1300"/>
      <c r="H50" s="1300"/>
      <c r="I50" s="982"/>
    </row>
    <row r="51" spans="5:9">
      <c r="E51" s="1299"/>
      <c r="F51" s="1299"/>
      <c r="G51" s="1300"/>
      <c r="H51" s="1300"/>
      <c r="I51" s="982"/>
    </row>
    <row r="52" spans="5:9">
      <c r="E52" s="1299"/>
      <c r="F52" s="1299"/>
      <c r="G52" s="1300"/>
      <c r="H52" s="1300"/>
      <c r="I52" s="982"/>
    </row>
  </sheetData>
  <mergeCells count="48">
    <mergeCell ref="O2:S2"/>
    <mergeCell ref="E3:I3"/>
    <mergeCell ref="E4:I4"/>
    <mergeCell ref="C5:C6"/>
    <mergeCell ref="F5:H6"/>
    <mergeCell ref="K6:K7"/>
    <mergeCell ref="G7:H7"/>
    <mergeCell ref="F8:H8"/>
    <mergeCell ref="E10:I10"/>
    <mergeCell ref="C11:D11"/>
    <mergeCell ref="G11:H11"/>
    <mergeCell ref="C12:D12"/>
    <mergeCell ref="I12:I18"/>
    <mergeCell ref="J12:J18"/>
    <mergeCell ref="K12:K18"/>
    <mergeCell ref="C13:D13"/>
    <mergeCell ref="C14:D14"/>
    <mergeCell ref="C15:D15"/>
    <mergeCell ref="C16:D16"/>
    <mergeCell ref="C17:D17"/>
    <mergeCell ref="C18:F18"/>
    <mergeCell ref="C19:D19"/>
    <mergeCell ref="E19:H19"/>
    <mergeCell ref="I19:K19"/>
    <mergeCell ref="E21:I21"/>
    <mergeCell ref="D23:D28"/>
    <mergeCell ref="J23:J28"/>
    <mergeCell ref="E48:F48"/>
    <mergeCell ref="G48:H48"/>
    <mergeCell ref="E32:F32"/>
    <mergeCell ref="H32:I32"/>
    <mergeCell ref="E36:F36"/>
    <mergeCell ref="H36:I36"/>
    <mergeCell ref="E38:F38"/>
    <mergeCell ref="H38:I38"/>
    <mergeCell ref="E42:F42"/>
    <mergeCell ref="H42:I42"/>
    <mergeCell ref="E45:I45"/>
    <mergeCell ref="E47:F47"/>
    <mergeCell ref="G47:H47"/>
    <mergeCell ref="E52:F52"/>
    <mergeCell ref="G52:H52"/>
    <mergeCell ref="E49:F49"/>
    <mergeCell ref="G49:H49"/>
    <mergeCell ref="E50:F50"/>
    <mergeCell ref="G50:H50"/>
    <mergeCell ref="E51:F51"/>
    <mergeCell ref="G51:H51"/>
  </mergeCells>
  <pageMargins left="0.45" right="0.45" top="0.5" bottom="0.5" header="0.3" footer="0.3"/>
  <pageSetup paperSize="9" scale="99"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B1D1A-7E3F-4328-AF58-6FE935C51CBA}">
  <sheetPr>
    <pageSetUpPr fitToPage="1"/>
  </sheetPr>
  <dimension ref="B2:S52"/>
  <sheetViews>
    <sheetView topLeftCell="A13" zoomScaleNormal="100" workbookViewId="0">
      <selection activeCell="N25" sqref="N25"/>
    </sheetView>
  </sheetViews>
  <sheetFormatPr defaultColWidth="9.140625" defaultRowHeight="15"/>
  <cols>
    <col min="1" max="1" width="5.7109375" style="24" customWidth="1"/>
    <col min="2" max="2" width="3.7109375" style="24" customWidth="1"/>
    <col min="3" max="3" width="11" style="24" customWidth="1"/>
    <col min="4" max="4" width="4.28515625" style="24" customWidth="1"/>
    <col min="5" max="5" width="13.7109375" style="24" customWidth="1"/>
    <col min="6" max="6" width="20.140625" style="24" customWidth="1"/>
    <col min="7" max="7" width="12.85546875" style="24" customWidth="1"/>
    <col min="8" max="8" width="11.140625" style="24" customWidth="1"/>
    <col min="9" max="9" width="14" style="24" customWidth="1"/>
    <col min="10" max="10" width="8" style="24" customWidth="1"/>
    <col min="11" max="11" width="10.5703125" style="24" customWidth="1"/>
    <col min="12" max="12" width="4.140625" style="24" customWidth="1"/>
    <col min="13" max="13" width="9.28515625" style="24" customWidth="1"/>
    <col min="14" max="16384" width="9.140625" style="24"/>
  </cols>
  <sheetData>
    <row r="2" spans="2:19">
      <c r="B2" s="19"/>
      <c r="C2" s="20"/>
      <c r="D2" s="20"/>
      <c r="E2" s="20"/>
      <c r="F2" s="20"/>
      <c r="G2" s="20"/>
      <c r="H2" s="20"/>
      <c r="I2" s="20"/>
      <c r="J2" s="20"/>
      <c r="K2" s="20"/>
      <c r="L2" s="22"/>
      <c r="O2" s="1300"/>
      <c r="P2" s="1300"/>
      <c r="Q2" s="1300"/>
      <c r="R2" s="1300"/>
      <c r="S2" s="1300"/>
    </row>
    <row r="3" spans="2:19" ht="24.75" customHeight="1">
      <c r="B3" s="23"/>
      <c r="C3" s="981"/>
      <c r="E3" s="1321" t="s">
        <v>781</v>
      </c>
      <c r="F3" s="1321"/>
      <c r="G3" s="1321"/>
      <c r="H3" s="1321"/>
      <c r="I3" s="1321"/>
      <c r="K3" s="981" t="s">
        <v>782</v>
      </c>
      <c r="L3" s="25"/>
      <c r="O3" s="982"/>
      <c r="P3" s="982"/>
      <c r="Q3" s="982"/>
      <c r="R3" s="982"/>
      <c r="S3" s="982"/>
    </row>
    <row r="4" spans="2:19" ht="9.75" customHeight="1">
      <c r="B4" s="23"/>
      <c r="E4" s="1322" t="s">
        <v>827</v>
      </c>
      <c r="F4" s="1322"/>
      <c r="G4" s="1322"/>
      <c r="H4" s="1322"/>
      <c r="I4" s="1322"/>
      <c r="L4" s="25"/>
    </row>
    <row r="5" spans="2:19" ht="15" customHeight="1">
      <c r="B5" s="23"/>
      <c r="C5" s="1323" t="s">
        <v>784</v>
      </c>
      <c r="E5"/>
      <c r="F5" s="1324" t="s">
        <v>351</v>
      </c>
      <c r="G5" s="1324"/>
      <c r="H5" s="1324"/>
      <c r="I5"/>
      <c r="K5" s="983" t="s">
        <v>353</v>
      </c>
      <c r="L5" s="25"/>
    </row>
    <row r="6" spans="2:19" ht="25.5" customHeight="1">
      <c r="B6" s="23"/>
      <c r="C6" s="1323"/>
      <c r="E6"/>
      <c r="F6" s="1324"/>
      <c r="G6" s="1324"/>
      <c r="H6" s="1324"/>
      <c r="I6"/>
      <c r="K6" s="1325" t="s">
        <v>695</v>
      </c>
      <c r="L6" s="25"/>
    </row>
    <row r="7" spans="2:19" ht="15" customHeight="1">
      <c r="B7" s="23"/>
      <c r="C7" s="984" t="s">
        <v>785</v>
      </c>
      <c r="F7" s="573" t="s">
        <v>786</v>
      </c>
      <c r="G7" s="1327" t="s">
        <v>824</v>
      </c>
      <c r="H7" s="1328"/>
      <c r="K7" s="1326"/>
      <c r="L7" s="25"/>
    </row>
    <row r="8" spans="2:19">
      <c r="B8" s="23"/>
      <c r="C8" s="985">
        <v>1336</v>
      </c>
      <c r="E8" s="27"/>
      <c r="F8" s="1316" t="s">
        <v>825</v>
      </c>
      <c r="G8" s="1316"/>
      <c r="H8" s="1316"/>
      <c r="I8" s="27"/>
      <c r="K8" s="986" t="s">
        <v>789</v>
      </c>
      <c r="L8" s="25"/>
    </row>
    <row r="9" spans="2:19">
      <c r="B9" s="23"/>
      <c r="C9" s="6" t="s">
        <v>790</v>
      </c>
      <c r="F9" s="32" t="s">
        <v>791</v>
      </c>
      <c r="G9" s="987" t="s">
        <v>826</v>
      </c>
      <c r="H9" s="988"/>
      <c r="L9" s="25"/>
    </row>
    <row r="10" spans="2:19">
      <c r="B10" s="23"/>
      <c r="E10" s="1301"/>
      <c r="F10" s="1301"/>
      <c r="G10" s="1301"/>
      <c r="H10" s="1301"/>
      <c r="I10" s="1301"/>
      <c r="L10" s="25"/>
    </row>
    <row r="11" spans="2:19" ht="30.75" customHeight="1">
      <c r="B11" s="23"/>
      <c r="C11" s="1317" t="s">
        <v>793</v>
      </c>
      <c r="D11" s="1318"/>
      <c r="E11" s="989" t="s">
        <v>794</v>
      </c>
      <c r="F11" s="989" t="s">
        <v>795</v>
      </c>
      <c r="G11" s="1319" t="s">
        <v>796</v>
      </c>
      <c r="H11" s="1320"/>
      <c r="I11" s="989" t="s">
        <v>797</v>
      </c>
      <c r="J11" s="989" t="s">
        <v>798</v>
      </c>
      <c r="K11" s="989" t="s">
        <v>799</v>
      </c>
      <c r="L11" s="25"/>
    </row>
    <row r="12" spans="2:19" ht="18.75" customHeight="1">
      <c r="B12" s="23"/>
      <c r="C12" s="1317">
        <v>0</v>
      </c>
      <c r="D12" s="1318"/>
      <c r="E12" s="989">
        <v>603824</v>
      </c>
      <c r="F12" s="989">
        <v>603824</v>
      </c>
      <c r="G12" s="989" t="s">
        <v>800</v>
      </c>
      <c r="H12" s="989" t="s">
        <v>801</v>
      </c>
      <c r="I12" s="1307">
        <f>5+(18-5)*(G18/(G18-H18))</f>
        <v>11.742554196576847</v>
      </c>
      <c r="J12" s="1307">
        <f>(G18+E12)/E12</f>
        <v>1.1820386531015707</v>
      </c>
      <c r="K12" s="1307">
        <f>C15+(C16-C15)*(-F15/(-F15+F16))</f>
        <v>3.8733495934959352</v>
      </c>
      <c r="L12" s="25"/>
    </row>
    <row r="13" spans="2:19">
      <c r="B13" s="23"/>
      <c r="C13" s="1310">
        <v>1</v>
      </c>
      <c r="D13" s="1311"/>
      <c r="E13" s="990">
        <v>131230</v>
      </c>
      <c r="F13" s="991">
        <f>-(F12-E13)</f>
        <v>-472594</v>
      </c>
      <c r="G13" s="992">
        <f>E13*(1/(1+0.05)^C13)</f>
        <v>124980.95238095237</v>
      </c>
      <c r="H13" s="992">
        <f>E13*(1/(1+0.18)^C13)</f>
        <v>111211.86440677967</v>
      </c>
      <c r="I13" s="1308"/>
      <c r="J13" s="1308"/>
      <c r="K13" s="1308"/>
      <c r="L13" s="25"/>
    </row>
    <row r="14" spans="2:19">
      <c r="B14" s="23"/>
      <c r="C14" s="1310">
        <v>2</v>
      </c>
      <c r="D14" s="1311"/>
      <c r="E14" s="990">
        <v>142690</v>
      </c>
      <c r="F14" s="991">
        <f>F13+E14</f>
        <v>-329904</v>
      </c>
      <c r="G14" s="992">
        <f t="shared" ref="G14:G17" si="0">E14*(1/(1+0.05)^C14)</f>
        <v>129424.03628117913</v>
      </c>
      <c r="H14" s="992">
        <f>E14*(1/(1+0.18)^C14)</f>
        <v>102477.7362826774</v>
      </c>
      <c r="I14" s="1308"/>
      <c r="J14" s="1308"/>
      <c r="K14" s="1308"/>
      <c r="L14" s="25"/>
    </row>
    <row r="15" spans="2:19">
      <c r="B15" s="23"/>
      <c r="C15" s="1310">
        <v>3</v>
      </c>
      <c r="D15" s="1311"/>
      <c r="E15" s="990">
        <v>168771</v>
      </c>
      <c r="F15" s="991">
        <f>F14+E15</f>
        <v>-161133</v>
      </c>
      <c r="G15" s="992">
        <f t="shared" si="0"/>
        <v>145790.73534175573</v>
      </c>
      <c r="H15" s="992">
        <f>E15*(1/(1+0.18)^C15)</f>
        <v>102719.24101295654</v>
      </c>
      <c r="I15" s="1308"/>
      <c r="J15" s="1308"/>
      <c r="K15" s="1308"/>
      <c r="L15" s="25"/>
    </row>
    <row r="16" spans="2:19">
      <c r="B16" s="23"/>
      <c r="C16" s="1310">
        <v>4</v>
      </c>
      <c r="D16" s="1311"/>
      <c r="E16" s="990">
        <v>184500</v>
      </c>
      <c r="F16" s="993">
        <f>F15+E16</f>
        <v>23367</v>
      </c>
      <c r="G16" s="992">
        <f t="shared" si="0"/>
        <v>151788.60659910223</v>
      </c>
      <c r="H16" s="992">
        <f>E16*(1/(1+0.18)^C16)</f>
        <v>95163.047465533149</v>
      </c>
      <c r="I16" s="1308"/>
      <c r="J16" s="1308"/>
      <c r="K16" s="1308"/>
      <c r="L16" s="25"/>
    </row>
    <row r="17" spans="2:12">
      <c r="B17" s="23"/>
      <c r="C17" s="1312">
        <v>5</v>
      </c>
      <c r="D17" s="1312"/>
      <c r="E17" s="994">
        <v>206450</v>
      </c>
      <c r="F17" s="993">
        <f>F16+E17</f>
        <v>229817</v>
      </c>
      <c r="G17" s="992">
        <f t="shared" si="0"/>
        <v>161758.97706741336</v>
      </c>
      <c r="H17" s="992">
        <f>E17*(1/(1+0.18)^C17)</f>
        <v>90241.197690778208</v>
      </c>
      <c r="I17" s="1308"/>
      <c r="J17" s="1308"/>
      <c r="K17" s="1308"/>
      <c r="L17" s="25"/>
    </row>
    <row r="18" spans="2:12">
      <c r="B18" s="23"/>
      <c r="C18" s="1313" t="s">
        <v>802</v>
      </c>
      <c r="D18" s="1314"/>
      <c r="E18" s="1314"/>
      <c r="F18" s="1315"/>
      <c r="G18" s="995">
        <f>G13+G14+G15+G16+G17-E12</f>
        <v>109919.30767040281</v>
      </c>
      <c r="H18" s="996">
        <f>H13+H14+H15+H16+H17-E12</f>
        <v>-102010.91314127506</v>
      </c>
      <c r="I18" s="1309"/>
      <c r="J18" s="1309"/>
      <c r="K18" s="1309"/>
      <c r="L18" s="25"/>
    </row>
    <row r="19" spans="2:12">
      <c r="B19" s="23"/>
      <c r="C19" s="1302"/>
      <c r="D19" s="1302"/>
      <c r="E19" s="1303"/>
      <c r="F19" s="1303"/>
      <c r="G19" s="1303"/>
      <c r="H19" s="1303"/>
      <c r="I19" s="1304"/>
      <c r="J19" s="1304"/>
      <c r="K19" s="1304"/>
      <c r="L19" s="25"/>
    </row>
    <row r="20" spans="2:12">
      <c r="B20" s="23"/>
      <c r="E20" s="24" t="s">
        <v>41</v>
      </c>
      <c r="L20" s="25" t="s">
        <v>41</v>
      </c>
    </row>
    <row r="21" spans="2:12" ht="23.45" customHeight="1">
      <c r="B21" s="23"/>
      <c r="E21" s="1301" t="s">
        <v>803</v>
      </c>
      <c r="F21" s="1301"/>
      <c r="G21" s="1301"/>
      <c r="H21" s="1301"/>
      <c r="I21" s="1301"/>
      <c r="L21" s="25"/>
    </row>
    <row r="22" spans="2:12">
      <c r="B22" s="23"/>
      <c r="E22" s="997" t="s">
        <v>804</v>
      </c>
      <c r="F22" s="997" t="s">
        <v>805</v>
      </c>
      <c r="G22" s="997" t="s">
        <v>806</v>
      </c>
      <c r="H22" s="997" t="s">
        <v>807</v>
      </c>
      <c r="I22" s="997" t="s">
        <v>808</v>
      </c>
      <c r="L22" s="25"/>
    </row>
    <row r="23" spans="2:12">
      <c r="B23" s="23"/>
      <c r="D23" s="1305" t="s">
        <v>828</v>
      </c>
      <c r="E23" s="994" t="s">
        <v>548</v>
      </c>
      <c r="F23" s="994">
        <v>80</v>
      </c>
      <c r="G23" s="994" t="s">
        <v>809</v>
      </c>
      <c r="H23" s="994" t="s">
        <v>810</v>
      </c>
      <c r="I23" s="998" t="s">
        <v>829</v>
      </c>
      <c r="J23" s="1306"/>
      <c r="L23" s="25"/>
    </row>
    <row r="24" spans="2:12">
      <c r="B24" s="23"/>
      <c r="D24" s="1305"/>
      <c r="E24" s="994" t="s">
        <v>118</v>
      </c>
      <c r="F24" s="994">
        <v>120</v>
      </c>
      <c r="G24" s="994" t="s">
        <v>368</v>
      </c>
      <c r="H24" s="994" t="s">
        <v>810</v>
      </c>
      <c r="I24" s="998" t="s">
        <v>190</v>
      </c>
      <c r="J24" s="1306"/>
      <c r="L24" s="25"/>
    </row>
    <row r="25" spans="2:12">
      <c r="B25" s="23"/>
      <c r="D25" s="1305"/>
      <c r="E25" s="994" t="s">
        <v>117</v>
      </c>
      <c r="F25" s="994" t="s">
        <v>224</v>
      </c>
      <c r="G25" s="994"/>
      <c r="H25" s="994" t="s">
        <v>810</v>
      </c>
      <c r="I25" s="994" t="s">
        <v>224</v>
      </c>
      <c r="J25" s="1306"/>
      <c r="L25" s="25"/>
    </row>
    <row r="26" spans="2:12">
      <c r="B26" s="23"/>
      <c r="D26" s="1305"/>
      <c r="E26" s="994" t="s">
        <v>815</v>
      </c>
      <c r="F26" s="994" t="s">
        <v>187</v>
      </c>
      <c r="G26" s="994" t="s">
        <v>816</v>
      </c>
      <c r="H26" s="994" t="s">
        <v>810</v>
      </c>
      <c r="I26" s="994" t="s">
        <v>187</v>
      </c>
      <c r="J26" s="1306"/>
      <c r="L26" s="25"/>
    </row>
    <row r="27" spans="2:12" ht="15" customHeight="1">
      <c r="B27" s="23"/>
      <c r="D27" s="1305"/>
      <c r="E27" s="994" t="s">
        <v>557</v>
      </c>
      <c r="F27" s="994">
        <v>5096</v>
      </c>
      <c r="G27" s="994" t="s">
        <v>98</v>
      </c>
      <c r="H27" s="994" t="s">
        <v>810</v>
      </c>
      <c r="I27" s="994" t="s">
        <v>818</v>
      </c>
      <c r="J27" s="1306"/>
      <c r="L27" s="25"/>
    </row>
    <row r="28" spans="2:12">
      <c r="B28" s="23"/>
      <c r="D28" s="1305"/>
      <c r="E28" s="994" t="s">
        <v>563</v>
      </c>
      <c r="F28" s="994" t="s">
        <v>187</v>
      </c>
      <c r="G28" s="994" t="s">
        <v>156</v>
      </c>
      <c r="H28" s="994" t="s">
        <v>810</v>
      </c>
      <c r="I28" s="994" t="s">
        <v>187</v>
      </c>
      <c r="J28" s="1306"/>
      <c r="L28" s="25"/>
    </row>
    <row r="29" spans="2:12">
      <c r="B29" s="23"/>
      <c r="L29" s="25"/>
    </row>
    <row r="30" spans="2:12">
      <c r="B30" s="23"/>
      <c r="L30" s="25"/>
    </row>
    <row r="31" spans="2:12">
      <c r="B31" s="23"/>
      <c r="L31" s="25"/>
    </row>
    <row r="32" spans="2:12">
      <c r="B32" s="23"/>
      <c r="E32" s="1301" t="s">
        <v>820</v>
      </c>
      <c r="F32" s="1301"/>
      <c r="G32" s="48"/>
      <c r="H32" s="1301" t="s">
        <v>821</v>
      </c>
      <c r="I32" s="1301"/>
      <c r="L32" s="25"/>
    </row>
    <row r="33" spans="2:12">
      <c r="B33" s="23"/>
      <c r="L33" s="25"/>
    </row>
    <row r="34" spans="2:12">
      <c r="B34" s="23"/>
      <c r="L34" s="25"/>
    </row>
    <row r="35" spans="2:12">
      <c r="B35" s="23"/>
      <c r="L35" s="25"/>
    </row>
    <row r="36" spans="2:12">
      <c r="B36" s="23"/>
      <c r="E36" s="1300"/>
      <c r="F36" s="1300"/>
      <c r="H36" s="1300"/>
      <c r="I36" s="1300"/>
      <c r="L36" s="25"/>
    </row>
    <row r="37" spans="2:12">
      <c r="B37" s="23"/>
      <c r="L37" s="25"/>
    </row>
    <row r="38" spans="2:12">
      <c r="B38" s="23"/>
      <c r="E38" s="1301" t="s">
        <v>822</v>
      </c>
      <c r="F38" s="1301"/>
      <c r="H38" s="1301" t="s">
        <v>823</v>
      </c>
      <c r="I38" s="1301"/>
      <c r="L38" s="25"/>
    </row>
    <row r="39" spans="2:12">
      <c r="B39" s="26"/>
      <c r="C39" s="27"/>
      <c r="D39" s="27"/>
      <c r="E39" s="27"/>
      <c r="F39" s="27"/>
      <c r="G39" s="27"/>
      <c r="H39" s="27"/>
      <c r="I39" s="27"/>
      <c r="J39" s="27"/>
      <c r="K39" s="27"/>
      <c r="L39" s="28"/>
    </row>
    <row r="42" spans="2:12">
      <c r="E42" s="1300"/>
      <c r="F42" s="1300"/>
      <c r="H42" s="1300"/>
      <c r="I42" s="1300"/>
    </row>
    <row r="45" spans="2:12">
      <c r="E45" s="1300"/>
      <c r="F45" s="1300"/>
      <c r="G45" s="1300"/>
      <c r="H45" s="1300"/>
      <c r="I45" s="1300"/>
    </row>
    <row r="47" spans="2:12">
      <c r="E47" s="1299"/>
      <c r="F47" s="1299"/>
      <c r="G47" s="1300"/>
      <c r="H47" s="1300"/>
    </row>
    <row r="48" spans="2:12">
      <c r="E48" s="1299"/>
      <c r="F48" s="1299"/>
      <c r="G48" s="1300"/>
      <c r="H48" s="1300"/>
      <c r="I48" s="982"/>
    </row>
    <row r="49" spans="5:9">
      <c r="E49" s="1299"/>
      <c r="F49" s="1299"/>
      <c r="G49" s="1300"/>
      <c r="H49" s="1300"/>
      <c r="I49" s="982"/>
    </row>
    <row r="50" spans="5:9">
      <c r="E50" s="1299"/>
      <c r="F50" s="1299"/>
      <c r="G50" s="1300"/>
      <c r="H50" s="1300"/>
      <c r="I50" s="982"/>
    </row>
    <row r="51" spans="5:9">
      <c r="E51" s="1299"/>
      <c r="F51" s="1299"/>
      <c r="G51" s="1300"/>
      <c r="H51" s="1300"/>
      <c r="I51" s="982"/>
    </row>
    <row r="52" spans="5:9">
      <c r="E52" s="1299"/>
      <c r="F52" s="1299"/>
      <c r="G52" s="1300"/>
      <c r="H52" s="1300"/>
      <c r="I52" s="982"/>
    </row>
  </sheetData>
  <mergeCells count="48">
    <mergeCell ref="O2:S2"/>
    <mergeCell ref="E3:I3"/>
    <mergeCell ref="E4:I4"/>
    <mergeCell ref="C5:C6"/>
    <mergeCell ref="F5:H6"/>
    <mergeCell ref="K6:K7"/>
    <mergeCell ref="G7:H7"/>
    <mergeCell ref="F8:H8"/>
    <mergeCell ref="E10:I10"/>
    <mergeCell ref="C11:D11"/>
    <mergeCell ref="G11:H11"/>
    <mergeCell ref="C12:D12"/>
    <mergeCell ref="I12:I18"/>
    <mergeCell ref="J12:J18"/>
    <mergeCell ref="K12:K18"/>
    <mergeCell ref="C13:D13"/>
    <mergeCell ref="C14:D14"/>
    <mergeCell ref="C15:D15"/>
    <mergeCell ref="C16:D16"/>
    <mergeCell ref="C17:D17"/>
    <mergeCell ref="C18:F18"/>
    <mergeCell ref="C19:D19"/>
    <mergeCell ref="E19:H19"/>
    <mergeCell ref="I19:K19"/>
    <mergeCell ref="E21:I21"/>
    <mergeCell ref="D23:D28"/>
    <mergeCell ref="J23:J28"/>
    <mergeCell ref="E48:F48"/>
    <mergeCell ref="G48:H48"/>
    <mergeCell ref="E32:F32"/>
    <mergeCell ref="H32:I32"/>
    <mergeCell ref="E36:F36"/>
    <mergeCell ref="H36:I36"/>
    <mergeCell ref="E38:F38"/>
    <mergeCell ref="H38:I38"/>
    <mergeCell ref="E42:F42"/>
    <mergeCell ref="H42:I42"/>
    <mergeCell ref="E45:I45"/>
    <mergeCell ref="E47:F47"/>
    <mergeCell ref="G47:H47"/>
    <mergeCell ref="E52:F52"/>
    <mergeCell ref="G52:H52"/>
    <mergeCell ref="E49:F49"/>
    <mergeCell ref="G49:H49"/>
    <mergeCell ref="E50:F50"/>
    <mergeCell ref="G50:H50"/>
    <mergeCell ref="E51:F51"/>
    <mergeCell ref="G51:H51"/>
  </mergeCells>
  <pageMargins left="0.45" right="0.45" top="0.5" bottom="0.5" header="0.3" footer="0.3"/>
  <pageSetup paperSize="9" scale="99" orientation="portrait"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91"/>
  <sheetViews>
    <sheetView topLeftCell="A46" zoomScale="85" zoomScaleNormal="85" workbookViewId="0">
      <selection activeCell="H32" sqref="H32"/>
    </sheetView>
  </sheetViews>
  <sheetFormatPr defaultRowHeight="15"/>
  <cols>
    <col min="2" max="2" width="9.7109375" customWidth="1"/>
    <col min="5" max="5" width="14.85546875" customWidth="1"/>
    <col min="8" max="8" width="10.140625" bestFit="1" customWidth="1"/>
    <col min="9" max="9" width="9.7109375" customWidth="1"/>
    <col min="13" max="13" width="9.140625" customWidth="1"/>
    <col min="14" max="14" width="10.5703125" customWidth="1"/>
    <col min="17" max="17" width="9.140625" customWidth="1"/>
    <col min="32" max="32" width="10.85546875" customWidth="1"/>
  </cols>
  <sheetData>
    <row r="1" spans="2:16">
      <c r="B1" s="1" t="s">
        <v>0</v>
      </c>
      <c r="J1" s="1" t="s">
        <v>1</v>
      </c>
    </row>
    <row r="2" spans="2:16">
      <c r="B2" s="222" t="s">
        <v>2</v>
      </c>
      <c r="C2" s="1080" t="s">
        <v>3</v>
      </c>
      <c r="D2" s="1080"/>
      <c r="E2" s="1080"/>
      <c r="F2" s="222" t="s">
        <v>4</v>
      </c>
      <c r="G2" s="222" t="s">
        <v>5</v>
      </c>
      <c r="J2" s="250" t="s">
        <v>2</v>
      </c>
      <c r="K2" s="1080" t="s">
        <v>3</v>
      </c>
      <c r="L2" s="1080"/>
      <c r="M2" s="1080"/>
      <c r="N2" s="250" t="s">
        <v>4</v>
      </c>
      <c r="O2" s="250" t="s">
        <v>5</v>
      </c>
    </row>
    <row r="3" spans="2:16">
      <c r="B3" s="2">
        <v>1</v>
      </c>
      <c r="C3" s="1089" t="s">
        <v>6</v>
      </c>
      <c r="D3" s="1090"/>
      <c r="E3" s="1091"/>
      <c r="F3" s="2">
        <v>0.86499999999999999</v>
      </c>
      <c r="G3" s="2"/>
      <c r="J3" s="2">
        <v>1</v>
      </c>
      <c r="K3" s="8" t="s">
        <v>256</v>
      </c>
      <c r="L3" s="8"/>
      <c r="M3" s="8"/>
      <c r="N3" s="10">
        <v>6565</v>
      </c>
      <c r="O3" s="2" t="s">
        <v>8</v>
      </c>
    </row>
    <row r="4" spans="2:16">
      <c r="B4" s="2">
        <v>2</v>
      </c>
      <c r="C4" s="1089" t="s">
        <v>253</v>
      </c>
      <c r="D4" s="1090"/>
      <c r="E4" s="1091"/>
      <c r="F4" s="2">
        <v>1.0121</v>
      </c>
      <c r="G4" s="2"/>
      <c r="J4" s="2">
        <v>2</v>
      </c>
      <c r="K4" s="8" t="s">
        <v>257</v>
      </c>
      <c r="L4" s="261"/>
      <c r="M4" s="261"/>
      <c r="N4" s="251">
        <v>3315</v>
      </c>
      <c r="O4" s="251" t="s">
        <v>8</v>
      </c>
      <c r="P4" s="244"/>
    </row>
    <row r="5" spans="2:16">
      <c r="B5" s="2">
        <v>3</v>
      </c>
      <c r="C5" s="1087" t="s">
        <v>252</v>
      </c>
      <c r="D5" s="1087"/>
      <c r="E5" s="1087"/>
      <c r="F5" s="251">
        <v>0.61370000000000002</v>
      </c>
      <c r="G5" s="56"/>
      <c r="J5" s="2">
        <v>3</v>
      </c>
      <c r="K5" s="1086" t="s">
        <v>10</v>
      </c>
      <c r="L5" s="1086"/>
      <c r="M5" s="1086"/>
      <c r="N5" s="10">
        <v>6258</v>
      </c>
      <c r="O5" s="2" t="s">
        <v>8</v>
      </c>
    </row>
    <row r="6" spans="2:16">
      <c r="B6" s="2">
        <v>4</v>
      </c>
      <c r="C6" s="1089" t="s">
        <v>11</v>
      </c>
      <c r="D6" s="1090"/>
      <c r="E6" s="1091"/>
      <c r="F6" s="16">
        <f>(141.5/F3)-131.5</f>
        <v>32.083815028901739</v>
      </c>
      <c r="G6" s="2" t="s">
        <v>39</v>
      </c>
      <c r="J6" s="2">
        <v>4</v>
      </c>
      <c r="K6" s="1086" t="s">
        <v>12</v>
      </c>
      <c r="L6" s="1086"/>
      <c r="M6" s="1086"/>
      <c r="N6" s="10">
        <v>6412</v>
      </c>
      <c r="O6" s="2" t="s">
        <v>8</v>
      </c>
      <c r="P6" s="244"/>
    </row>
    <row r="7" spans="2:16">
      <c r="B7" s="2">
        <v>5</v>
      </c>
      <c r="C7" s="260" t="s">
        <v>13</v>
      </c>
      <c r="D7" s="260"/>
      <c r="E7" s="260"/>
      <c r="F7" s="2">
        <v>196</v>
      </c>
      <c r="G7" s="2" t="s">
        <v>40</v>
      </c>
      <c r="J7" s="2">
        <v>5</v>
      </c>
      <c r="K7" s="1086" t="s">
        <v>14</v>
      </c>
      <c r="L7" s="1086"/>
      <c r="M7" s="1086"/>
      <c r="N7" s="10">
        <v>6565</v>
      </c>
      <c r="O7" s="2" t="s">
        <v>8</v>
      </c>
      <c r="P7" s="205"/>
    </row>
    <row r="8" spans="2:16">
      <c r="B8" s="2">
        <v>6</v>
      </c>
      <c r="C8" s="260" t="s">
        <v>250</v>
      </c>
      <c r="D8" s="260"/>
      <c r="E8" s="260"/>
      <c r="F8" s="16">
        <v>695</v>
      </c>
      <c r="G8" s="2" t="s">
        <v>17</v>
      </c>
      <c r="J8" s="2">
        <v>6</v>
      </c>
      <c r="K8" s="1086" t="s">
        <v>22</v>
      </c>
      <c r="L8" s="1086"/>
      <c r="M8" s="1086"/>
      <c r="N8" s="46">
        <v>8.7550000000000008</v>
      </c>
      <c r="O8" s="2" t="s">
        <v>19</v>
      </c>
      <c r="P8" s="205"/>
    </row>
    <row r="9" spans="2:16">
      <c r="B9" s="2">
        <v>7</v>
      </c>
      <c r="C9" s="260" t="s">
        <v>251</v>
      </c>
      <c r="D9" s="260"/>
      <c r="E9" s="260"/>
      <c r="F9" s="16">
        <v>620</v>
      </c>
      <c r="G9" s="2" t="s">
        <v>17</v>
      </c>
      <c r="J9" s="2">
        <v>7</v>
      </c>
      <c r="K9" s="1086" t="s">
        <v>18</v>
      </c>
      <c r="L9" s="1086"/>
      <c r="M9" s="1086"/>
      <c r="N9" s="2">
        <f>9+(5/8)</f>
        <v>9.625</v>
      </c>
      <c r="O9" s="2" t="s">
        <v>19</v>
      </c>
      <c r="P9" s="205"/>
    </row>
    <row r="10" spans="2:16">
      <c r="B10" s="2">
        <v>8</v>
      </c>
      <c r="C10" s="1089" t="s">
        <v>254</v>
      </c>
      <c r="D10" s="1090"/>
      <c r="E10" s="1091"/>
      <c r="F10" s="16">
        <v>1050</v>
      </c>
      <c r="G10" s="2" t="s">
        <v>17</v>
      </c>
      <c r="P10" s="205"/>
    </row>
    <row r="11" spans="2:16">
      <c r="B11" s="15">
        <v>9</v>
      </c>
      <c r="C11" s="1088" t="s">
        <v>255</v>
      </c>
      <c r="D11" s="1088"/>
      <c r="E11" s="1088"/>
      <c r="F11" s="39">
        <f>(2739/4.9)+1665.47</f>
        <v>2224.4495918367347</v>
      </c>
      <c r="G11" s="15" t="s">
        <v>17</v>
      </c>
      <c r="J11" s="12"/>
      <c r="K11" s="12"/>
      <c r="L11" s="12"/>
      <c r="M11" s="12"/>
      <c r="N11" s="12"/>
      <c r="O11" s="12"/>
    </row>
    <row r="12" spans="2:16">
      <c r="B12" s="1" t="s">
        <v>16</v>
      </c>
    </row>
    <row r="13" spans="2:16">
      <c r="B13" s="222" t="s">
        <v>2</v>
      </c>
      <c r="C13" s="1083" t="s">
        <v>3</v>
      </c>
      <c r="D13" s="1084"/>
      <c r="E13" s="1085"/>
      <c r="F13" s="222" t="s">
        <v>4</v>
      </c>
      <c r="G13" s="222" t="s">
        <v>5</v>
      </c>
    </row>
    <row r="14" spans="2:16">
      <c r="B14" s="2">
        <v>1</v>
      </c>
      <c r="C14" s="6" t="s">
        <v>20</v>
      </c>
      <c r="D14" s="7"/>
      <c r="E14" s="5"/>
      <c r="F14" s="2">
        <v>33</v>
      </c>
      <c r="G14" s="2" t="s">
        <v>21</v>
      </c>
    </row>
    <row r="15" spans="2:16">
      <c r="B15" s="2">
        <v>2</v>
      </c>
      <c r="C15" s="6" t="s">
        <v>23</v>
      </c>
      <c r="D15" s="7"/>
      <c r="E15" s="5"/>
      <c r="F15" s="2">
        <f>F16-F14</f>
        <v>2706</v>
      </c>
      <c r="G15" s="2" t="s">
        <v>24</v>
      </c>
      <c r="J15" s="1" t="s">
        <v>27</v>
      </c>
    </row>
    <row r="16" spans="2:16">
      <c r="B16" s="2">
        <v>3</v>
      </c>
      <c r="C16" s="6" t="s">
        <v>25</v>
      </c>
      <c r="D16" s="7"/>
      <c r="E16" s="5"/>
      <c r="F16" s="2">
        <v>2739</v>
      </c>
      <c r="G16" s="2" t="s">
        <v>26</v>
      </c>
      <c r="J16" s="250" t="s">
        <v>2</v>
      </c>
      <c r="K16" s="1080" t="s">
        <v>3</v>
      </c>
      <c r="L16" s="1080"/>
      <c r="M16" s="1080"/>
      <c r="N16" s="250" t="s">
        <v>4</v>
      </c>
      <c r="O16" s="250" t="s">
        <v>5</v>
      </c>
    </row>
    <row r="17" spans="2:18">
      <c r="B17" s="2">
        <v>4</v>
      </c>
      <c r="C17" s="7" t="s">
        <v>28</v>
      </c>
      <c r="D17" s="9"/>
      <c r="E17" s="5"/>
      <c r="F17" s="47">
        <v>0.98799999999999999</v>
      </c>
      <c r="G17" s="2" t="s">
        <v>88</v>
      </c>
      <c r="J17" s="2">
        <v>1</v>
      </c>
      <c r="K17" s="1092" t="s">
        <v>30</v>
      </c>
      <c r="L17" s="1093"/>
      <c r="M17" s="1094"/>
      <c r="N17" s="2">
        <v>120</v>
      </c>
      <c r="O17" s="2"/>
      <c r="Q17" s="14"/>
    </row>
    <row r="18" spans="2:18">
      <c r="B18" s="2">
        <v>5</v>
      </c>
      <c r="C18" s="6" t="s">
        <v>29</v>
      </c>
      <c r="D18" s="6"/>
      <c r="E18" s="6"/>
      <c r="F18" s="687">
        <f>N6-(F11/H33)</f>
        <v>1327.252865844348</v>
      </c>
      <c r="G18" s="2" t="s">
        <v>8</v>
      </c>
      <c r="I18" s="34"/>
      <c r="J18" s="2">
        <v>2</v>
      </c>
      <c r="K18" s="8" t="s">
        <v>32</v>
      </c>
      <c r="L18" s="8"/>
      <c r="M18" s="8"/>
      <c r="N18" s="2" t="s">
        <v>231</v>
      </c>
      <c r="O18" s="2"/>
      <c r="P18" s="14"/>
      <c r="Q18" s="14"/>
      <c r="R18" t="s">
        <v>41</v>
      </c>
    </row>
    <row r="19" spans="2:18">
      <c r="B19" s="2">
        <v>6</v>
      </c>
      <c r="C19" s="6" t="s">
        <v>31</v>
      </c>
      <c r="D19" s="6"/>
      <c r="E19" s="6"/>
      <c r="F19" s="10">
        <v>2605</v>
      </c>
      <c r="G19" s="2" t="s">
        <v>8</v>
      </c>
      <c r="J19" s="2">
        <v>3</v>
      </c>
      <c r="K19" s="1092" t="s">
        <v>34</v>
      </c>
      <c r="L19" s="1093"/>
      <c r="M19" s="1094"/>
      <c r="N19" s="15">
        <v>80</v>
      </c>
      <c r="O19" s="2" t="s">
        <v>35</v>
      </c>
      <c r="Q19" s="14"/>
    </row>
    <row r="20" spans="2:18">
      <c r="B20" s="2">
        <v>7</v>
      </c>
      <c r="C20" s="7" t="s">
        <v>258</v>
      </c>
      <c r="D20" s="9"/>
      <c r="E20" s="5"/>
      <c r="F20" s="39">
        <v>2500</v>
      </c>
      <c r="G20" s="2" t="s">
        <v>230</v>
      </c>
      <c r="J20" s="2">
        <v>4</v>
      </c>
      <c r="K20" s="1092" t="s">
        <v>42</v>
      </c>
      <c r="L20" s="1093"/>
      <c r="M20" s="1094"/>
      <c r="N20" s="2">
        <v>60</v>
      </c>
      <c r="O20" s="2" t="s">
        <v>37</v>
      </c>
      <c r="Q20" s="14"/>
    </row>
    <row r="21" spans="2:18">
      <c r="B21" s="2">
        <v>8</v>
      </c>
      <c r="C21" s="7" t="s">
        <v>36</v>
      </c>
      <c r="D21" s="9"/>
      <c r="E21" s="5"/>
      <c r="F21" s="2">
        <v>4.5</v>
      </c>
      <c r="G21" s="2" t="s">
        <v>19</v>
      </c>
      <c r="H21" s="205"/>
      <c r="J21" s="2">
        <v>5</v>
      </c>
      <c r="K21" s="8" t="s">
        <v>15</v>
      </c>
      <c r="L21" s="8"/>
      <c r="M21" s="8"/>
      <c r="N21" s="10">
        <v>4100</v>
      </c>
      <c r="O21" s="2" t="s">
        <v>8</v>
      </c>
    </row>
    <row r="22" spans="2:18">
      <c r="B22" s="2">
        <v>9</v>
      </c>
      <c r="C22" s="7" t="s">
        <v>38</v>
      </c>
      <c r="D22" s="9"/>
      <c r="E22" s="5"/>
      <c r="F22" s="2">
        <v>3.9580000000000002</v>
      </c>
      <c r="G22" s="2" t="s">
        <v>19</v>
      </c>
      <c r="J22" s="251">
        <v>6</v>
      </c>
      <c r="K22" s="1086" t="s">
        <v>248</v>
      </c>
      <c r="L22" s="1086"/>
      <c r="M22" s="1086"/>
      <c r="N22" s="251" t="s">
        <v>249</v>
      </c>
      <c r="O22" s="251" t="s">
        <v>46</v>
      </c>
    </row>
    <row r="23" spans="2:18">
      <c r="B23" s="2">
        <v>10</v>
      </c>
      <c r="C23" s="6" t="s">
        <v>228</v>
      </c>
      <c r="D23" s="7"/>
      <c r="E23" s="5"/>
      <c r="F23" s="39">
        <v>3012</v>
      </c>
      <c r="G23" s="2" t="s">
        <v>8</v>
      </c>
      <c r="J23" s="2">
        <v>7</v>
      </c>
      <c r="K23" s="1092" t="s">
        <v>259</v>
      </c>
      <c r="L23" s="1093"/>
      <c r="M23" s="1094"/>
      <c r="N23" s="251">
        <v>120</v>
      </c>
      <c r="O23" s="2" t="s">
        <v>87</v>
      </c>
    </row>
    <row r="24" spans="2:18">
      <c r="B24" s="2">
        <v>11</v>
      </c>
      <c r="C24" s="6" t="s">
        <v>33</v>
      </c>
      <c r="D24" s="6"/>
      <c r="E24" s="6"/>
      <c r="F24" s="2">
        <v>240</v>
      </c>
      <c r="G24" s="2" t="s">
        <v>17</v>
      </c>
      <c r="H24" s="13"/>
      <c r="J24" s="12"/>
      <c r="L24" s="12"/>
    </row>
    <row r="25" spans="2:18">
      <c r="B25" s="14"/>
      <c r="C25" s="57"/>
      <c r="D25" s="57"/>
      <c r="E25" s="57"/>
      <c r="F25" s="14"/>
      <c r="G25" s="14"/>
      <c r="H25" s="13"/>
      <c r="J25" s="12"/>
      <c r="L25" s="12"/>
    </row>
    <row r="27" spans="2:18">
      <c r="B27" s="19" t="s">
        <v>53</v>
      </c>
      <c r="C27" s="20"/>
      <c r="D27" s="20"/>
      <c r="E27" s="20"/>
      <c r="F27" s="20"/>
      <c r="G27" s="20"/>
      <c r="H27" s="20"/>
      <c r="I27" s="22"/>
    </row>
    <row r="28" spans="2:18">
      <c r="B28" s="35" t="s">
        <v>54</v>
      </c>
      <c r="C28" s="24"/>
      <c r="D28" s="24"/>
      <c r="E28" s="24"/>
      <c r="F28" s="24"/>
      <c r="G28" s="24"/>
      <c r="H28" s="249">
        <f>(141.5/(F6+131.5))</f>
        <v>0.86499999999999999</v>
      </c>
      <c r="I28" s="25"/>
    </row>
    <row r="29" spans="2:18">
      <c r="B29" s="36" t="s">
        <v>55</v>
      </c>
      <c r="C29" s="20"/>
      <c r="D29" s="20"/>
      <c r="E29" s="20"/>
      <c r="F29" s="20"/>
      <c r="G29" s="20"/>
      <c r="H29" s="20"/>
      <c r="I29" s="22"/>
    </row>
    <row r="30" spans="2:18">
      <c r="B30" s="35" t="s">
        <v>218</v>
      </c>
      <c r="C30" s="24"/>
      <c r="D30" s="24" t="s">
        <v>56</v>
      </c>
      <c r="E30" s="24"/>
      <c r="F30" s="24"/>
      <c r="G30" s="24"/>
      <c r="H30" s="259">
        <f>F17*F4</f>
        <v>0.99995480000000003</v>
      </c>
      <c r="I30" s="25"/>
    </row>
    <row r="31" spans="2:18">
      <c r="B31" s="35" t="s">
        <v>57</v>
      </c>
      <c r="C31" s="24"/>
      <c r="D31" s="24" t="s">
        <v>58</v>
      </c>
      <c r="E31" s="24"/>
      <c r="F31" s="24"/>
      <c r="G31" s="24"/>
      <c r="H31" s="249">
        <f>(1-F17)*F3</f>
        <v>1.0380000000000009E-2</v>
      </c>
      <c r="I31" s="25"/>
    </row>
    <row r="32" spans="2:18">
      <c r="B32" s="35" t="s">
        <v>217</v>
      </c>
      <c r="C32" s="24"/>
      <c r="D32" s="24" t="s">
        <v>219</v>
      </c>
      <c r="E32" s="24"/>
      <c r="F32" s="24"/>
      <c r="G32" s="24"/>
      <c r="H32" s="249">
        <f>H30+H31</f>
        <v>1.0103348000000001</v>
      </c>
      <c r="I32" s="25"/>
    </row>
    <row r="33" spans="2:9">
      <c r="B33" s="37" t="s">
        <v>59</v>
      </c>
      <c r="C33" s="27"/>
      <c r="D33" s="27" t="s">
        <v>60</v>
      </c>
      <c r="E33" s="27"/>
      <c r="F33" s="27"/>
      <c r="G33" s="27"/>
      <c r="H33" s="686">
        <f>H32*0.433</f>
        <v>0.43747496840000005</v>
      </c>
      <c r="I33" s="28" t="s">
        <v>61</v>
      </c>
    </row>
    <row r="34" spans="2:9">
      <c r="B34" s="41" t="s">
        <v>62</v>
      </c>
      <c r="C34" s="24"/>
      <c r="D34" s="24"/>
      <c r="E34" s="24"/>
      <c r="F34" s="24"/>
      <c r="G34" s="24"/>
      <c r="H34" s="24"/>
      <c r="I34" s="25"/>
    </row>
    <row r="35" spans="2:9">
      <c r="B35" s="35" t="s">
        <v>63</v>
      </c>
      <c r="C35" s="24"/>
      <c r="D35" s="24" t="s">
        <v>64</v>
      </c>
      <c r="E35" s="24"/>
      <c r="F35" s="24"/>
      <c r="G35" s="24"/>
      <c r="H35" s="42">
        <f>(N6-F19)*H33</f>
        <v>1665.4672046988003</v>
      </c>
      <c r="I35" s="25" t="s">
        <v>17</v>
      </c>
    </row>
    <row r="36" spans="2:9">
      <c r="B36" s="36" t="s">
        <v>65</v>
      </c>
      <c r="C36" s="20"/>
      <c r="D36" s="20"/>
      <c r="E36" s="20"/>
      <c r="F36" s="20"/>
      <c r="G36" s="20"/>
      <c r="H36" s="20"/>
      <c r="I36" s="22"/>
    </row>
    <row r="37" spans="2:9">
      <c r="B37" s="37" t="s">
        <v>66</v>
      </c>
      <c r="C37" s="27"/>
      <c r="D37" s="27" t="s">
        <v>67</v>
      </c>
      <c r="E37" s="27"/>
      <c r="F37" s="27"/>
      <c r="G37" s="27"/>
      <c r="H37" s="43">
        <f>(N6-F18)*H33</f>
        <v>2224.4495918367347</v>
      </c>
      <c r="I37" s="28" t="s">
        <v>17</v>
      </c>
    </row>
    <row r="38" spans="2:9">
      <c r="B38" s="41" t="s">
        <v>68</v>
      </c>
      <c r="C38" s="24"/>
      <c r="D38" s="24"/>
      <c r="E38" s="24"/>
      <c r="F38" s="24"/>
      <c r="G38" s="24"/>
      <c r="H38" s="24"/>
      <c r="I38" s="25"/>
    </row>
    <row r="39" spans="2:9">
      <c r="B39" s="35" t="s">
        <v>69</v>
      </c>
      <c r="C39" s="24"/>
      <c r="D39" s="24" t="s">
        <v>70</v>
      </c>
      <c r="E39" s="24"/>
      <c r="F39" s="24"/>
      <c r="G39" s="24"/>
      <c r="H39" s="42">
        <f>H35-((N6-N21)*H33)</f>
        <v>654.02507775800018</v>
      </c>
      <c r="I39" s="25" t="s">
        <v>17</v>
      </c>
    </row>
    <row r="40" spans="2:9">
      <c r="B40" s="36" t="s">
        <v>71</v>
      </c>
      <c r="C40" s="20"/>
      <c r="D40" s="20"/>
      <c r="E40" s="20"/>
      <c r="F40" s="20"/>
      <c r="G40" s="20"/>
      <c r="H40" s="20"/>
      <c r="I40" s="22"/>
    </row>
    <row r="41" spans="2:9">
      <c r="B41" s="23" t="s">
        <v>72</v>
      </c>
      <c r="C41" s="24"/>
      <c r="D41" s="24" t="s">
        <v>73</v>
      </c>
      <c r="E41" s="24"/>
      <c r="F41" s="24"/>
      <c r="G41" s="24"/>
      <c r="H41" s="42">
        <f>N21-(H39/H33)</f>
        <v>2605</v>
      </c>
      <c r="I41" s="25" t="s">
        <v>8</v>
      </c>
    </row>
    <row r="42" spans="2:9">
      <c r="B42" s="23" t="s">
        <v>74</v>
      </c>
      <c r="C42" s="24"/>
      <c r="D42" s="24"/>
      <c r="E42" s="24"/>
      <c r="F42" s="24"/>
      <c r="G42" s="24"/>
      <c r="H42" s="24"/>
      <c r="I42" s="25"/>
    </row>
    <row r="43" spans="2:9">
      <c r="B43" s="41" t="s">
        <v>75</v>
      </c>
      <c r="C43" s="24"/>
      <c r="D43" s="24"/>
      <c r="E43" s="24"/>
      <c r="F43" s="24"/>
      <c r="G43" s="24"/>
      <c r="H43" s="45">
        <f>(2.083*(100/N17)^1.85*(F16/34.3)^1.85)/(F22^4.8655)</f>
        <v>6.0874673757376208</v>
      </c>
      <c r="I43" s="25" t="s">
        <v>76</v>
      </c>
    </row>
    <row r="44" spans="2:9">
      <c r="B44" s="41"/>
      <c r="C44" s="24"/>
      <c r="D44" s="24"/>
      <c r="E44" s="24"/>
      <c r="F44" s="24"/>
      <c r="G44" s="24"/>
      <c r="H44" s="45"/>
      <c r="I44" s="25"/>
    </row>
    <row r="45" spans="2:9">
      <c r="B45" s="41"/>
      <c r="C45" s="24"/>
      <c r="D45" s="24"/>
      <c r="E45" s="24"/>
      <c r="F45" s="24"/>
      <c r="G45" s="24"/>
      <c r="H45" s="45"/>
      <c r="I45" s="25"/>
    </row>
    <row r="46" spans="2:9">
      <c r="B46" s="41" t="s">
        <v>77</v>
      </c>
      <c r="C46" s="24"/>
      <c r="D46" s="24"/>
      <c r="E46" s="24"/>
      <c r="F46" s="24"/>
      <c r="G46" s="24"/>
      <c r="H46" s="42">
        <f>(H43/1000)*N21</f>
        <v>24.958616240524243</v>
      </c>
      <c r="I46" s="25" t="s">
        <v>8</v>
      </c>
    </row>
    <row r="47" spans="2:9">
      <c r="B47" s="23" t="s">
        <v>78</v>
      </c>
      <c r="C47" s="24"/>
      <c r="D47" s="24"/>
      <c r="E47" s="24"/>
      <c r="F47" s="24"/>
      <c r="G47" s="24"/>
      <c r="H47" s="249">
        <f>F24/H33</f>
        <v>548.60281692862213</v>
      </c>
      <c r="I47" s="25" t="s">
        <v>8</v>
      </c>
    </row>
    <row r="48" spans="2:9">
      <c r="B48" s="23"/>
      <c r="C48" s="24"/>
      <c r="D48" s="24"/>
      <c r="E48" s="24"/>
      <c r="F48" s="24"/>
      <c r="G48" s="24"/>
      <c r="H48" s="42"/>
      <c r="I48" s="25"/>
    </row>
    <row r="49" spans="1:33">
      <c r="B49" s="26" t="s">
        <v>79</v>
      </c>
      <c r="C49" s="27"/>
      <c r="D49" s="27" t="s">
        <v>80</v>
      </c>
      <c r="E49" s="27"/>
      <c r="F49" s="27"/>
      <c r="G49" s="27"/>
      <c r="H49" s="43">
        <f>H41+H46+H47</f>
        <v>3178.5614331691468</v>
      </c>
      <c r="I49" s="28" t="s">
        <v>8</v>
      </c>
    </row>
    <row r="50" spans="1:33">
      <c r="B50" s="23" t="s">
        <v>82</v>
      </c>
      <c r="C50" s="24"/>
      <c r="D50" s="24"/>
      <c r="E50" s="24"/>
      <c r="F50" s="24"/>
      <c r="G50" s="24"/>
      <c r="H50" s="24"/>
      <c r="I50" s="25"/>
    </row>
    <row r="51" spans="1:33">
      <c r="B51" s="23" t="s">
        <v>83</v>
      </c>
      <c r="C51" s="24"/>
      <c r="D51" s="24"/>
      <c r="E51" s="24"/>
      <c r="F51" s="24"/>
      <c r="G51" s="24"/>
      <c r="H51" s="48">
        <v>80</v>
      </c>
      <c r="I51" s="25" t="s">
        <v>84</v>
      </c>
    </row>
    <row r="52" spans="1:33">
      <c r="B52" s="23" t="s">
        <v>85</v>
      </c>
      <c r="C52" s="24"/>
      <c r="D52" s="24"/>
      <c r="E52" s="24"/>
      <c r="F52" s="24"/>
      <c r="G52" s="24"/>
      <c r="H52" s="44">
        <f>H49/H51</f>
        <v>39.732017914614332</v>
      </c>
      <c r="I52" s="25" t="s">
        <v>86</v>
      </c>
    </row>
    <row r="53" spans="1:33">
      <c r="B53" s="26"/>
      <c r="C53" s="27"/>
      <c r="D53" s="49"/>
      <c r="E53" s="27"/>
      <c r="F53" s="27"/>
      <c r="G53" s="27"/>
      <c r="H53" s="27"/>
      <c r="I53" s="28"/>
    </row>
    <row r="54" spans="1:33">
      <c r="B54" s="23" t="s">
        <v>140</v>
      </c>
      <c r="C54" s="24"/>
      <c r="D54" s="24"/>
      <c r="E54" s="24"/>
      <c r="F54" s="24"/>
      <c r="G54" s="24"/>
      <c r="H54" s="24"/>
      <c r="I54" s="22"/>
    </row>
    <row r="55" spans="1:33">
      <c r="A55" s="104"/>
      <c r="B55" s="102" t="s">
        <v>141</v>
      </c>
      <c r="C55" s="102"/>
      <c r="D55" s="102"/>
      <c r="E55" s="102"/>
      <c r="F55" s="102"/>
      <c r="G55" s="24"/>
      <c r="H55" s="103">
        <f>F16</f>
        <v>2739</v>
      </c>
      <c r="I55" s="25" t="s">
        <v>46</v>
      </c>
    </row>
    <row r="56" spans="1:33">
      <c r="B56" s="23" t="s">
        <v>142</v>
      </c>
      <c r="C56" s="24"/>
      <c r="D56" s="24"/>
      <c r="E56" s="24"/>
      <c r="F56" s="24"/>
      <c r="G56" s="24"/>
      <c r="H56" s="48">
        <v>2950</v>
      </c>
      <c r="I56" s="25" t="s">
        <v>46</v>
      </c>
    </row>
    <row r="57" spans="1:33">
      <c r="B57" s="23" t="s">
        <v>143</v>
      </c>
      <c r="C57" s="24"/>
      <c r="D57" s="24"/>
      <c r="E57" s="24"/>
      <c r="F57" s="24"/>
      <c r="G57" s="24"/>
      <c r="H57" s="42">
        <f>(H55/H56)*100</f>
        <v>92.847457627118644</v>
      </c>
      <c r="I57" s="25" t="s">
        <v>88</v>
      </c>
    </row>
    <row r="58" spans="1:33">
      <c r="B58" s="23"/>
      <c r="C58" s="24"/>
      <c r="D58" s="24"/>
      <c r="E58" s="24"/>
      <c r="F58" s="24"/>
      <c r="G58" s="24"/>
      <c r="H58" s="42"/>
      <c r="I58" s="25"/>
    </row>
    <row r="59" spans="1:33">
      <c r="B59" s="26" t="s">
        <v>144</v>
      </c>
      <c r="C59" s="27"/>
      <c r="D59" s="27"/>
      <c r="E59" s="27"/>
      <c r="F59" s="27"/>
      <c r="G59" s="27"/>
      <c r="H59" s="54">
        <v>64</v>
      </c>
      <c r="I59" s="28" t="s">
        <v>88</v>
      </c>
    </row>
    <row r="62" spans="1:33">
      <c r="M62" s="64"/>
      <c r="AG62" s="50"/>
    </row>
    <row r="63" spans="1:33" ht="15" customHeight="1">
      <c r="B63" s="1081" t="s">
        <v>210</v>
      </c>
      <c r="C63" s="224" t="s">
        <v>43</v>
      </c>
      <c r="D63" s="224" t="s">
        <v>44</v>
      </c>
      <c r="E63" s="224" t="s">
        <v>96</v>
      </c>
      <c r="F63" s="224" t="s">
        <v>104</v>
      </c>
      <c r="G63" s="225" t="s">
        <v>213</v>
      </c>
      <c r="H63" s="224" t="s">
        <v>214</v>
      </c>
      <c r="I63" s="224" t="s">
        <v>114</v>
      </c>
      <c r="J63" s="225" t="s">
        <v>216</v>
      </c>
      <c r="M63" s="31"/>
    </row>
    <row r="64" spans="1:33">
      <c r="B64" s="1082"/>
      <c r="C64" s="226" t="s">
        <v>211</v>
      </c>
      <c r="D64" s="226" t="s">
        <v>211</v>
      </c>
      <c r="E64" s="226" t="s">
        <v>211</v>
      </c>
      <c r="F64" s="226" t="s">
        <v>212</v>
      </c>
      <c r="G64" s="227" t="s">
        <v>106</v>
      </c>
      <c r="H64" s="226" t="s">
        <v>106</v>
      </c>
      <c r="I64" s="226" t="s">
        <v>215</v>
      </c>
      <c r="J64" s="227" t="s">
        <v>215</v>
      </c>
      <c r="N64" s="52"/>
    </row>
    <row r="65" spans="2:10">
      <c r="B65" s="146" t="s">
        <v>231</v>
      </c>
      <c r="C65" s="147">
        <f>H37</f>
        <v>2224.4495918367347</v>
      </c>
      <c r="D65" s="147">
        <f>H35</f>
        <v>1665.4672046988003</v>
      </c>
      <c r="E65" s="147">
        <f>H39</f>
        <v>654.02507775800018</v>
      </c>
      <c r="F65" s="148">
        <f>H52</f>
        <v>39.732017914614332</v>
      </c>
      <c r="G65" s="149">
        <f>H55</f>
        <v>2739</v>
      </c>
      <c r="H65" s="146">
        <f>H56</f>
        <v>2950</v>
      </c>
      <c r="I65" s="147">
        <f>H57</f>
        <v>92.847457627118644</v>
      </c>
      <c r="J65" s="149">
        <f>H59</f>
        <v>64</v>
      </c>
    </row>
    <row r="83" spans="2:8">
      <c r="D83" s="105"/>
    </row>
    <row r="86" spans="2:8">
      <c r="C86" s="50"/>
      <c r="H86" s="50"/>
    </row>
    <row r="88" spans="2:8" ht="15.75">
      <c r="B88" s="31"/>
      <c r="C88" s="51"/>
    </row>
    <row r="89" spans="2:8">
      <c r="C89" s="52"/>
    </row>
    <row r="91" spans="2:8">
      <c r="H91" s="53"/>
    </row>
  </sheetData>
  <mergeCells count="21">
    <mergeCell ref="K9:M9"/>
    <mergeCell ref="K23:M23"/>
    <mergeCell ref="K20:M20"/>
    <mergeCell ref="K19:M19"/>
    <mergeCell ref="K17:M17"/>
    <mergeCell ref="C2:E2"/>
    <mergeCell ref="K2:M2"/>
    <mergeCell ref="K16:M16"/>
    <mergeCell ref="B63:B64"/>
    <mergeCell ref="C13:E13"/>
    <mergeCell ref="K22:M22"/>
    <mergeCell ref="C5:E5"/>
    <mergeCell ref="C11:E11"/>
    <mergeCell ref="C3:E3"/>
    <mergeCell ref="C4:E4"/>
    <mergeCell ref="C6:E6"/>
    <mergeCell ref="C10:E10"/>
    <mergeCell ref="K7:M7"/>
    <mergeCell ref="K6:M6"/>
    <mergeCell ref="K5:M5"/>
    <mergeCell ref="K8:M8"/>
  </mergeCells>
  <pageMargins left="0.7" right="0.7" top="0.75" bottom="0.75" header="0.3" footer="0.3"/>
  <pageSetup paperSize="9" orientation="portrait" horizontalDpi="4294967293" verticalDpi="0" r:id="rId1"/>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3</xdr:col>
                <xdr:colOff>9525</xdr:colOff>
                <xdr:row>45</xdr:row>
                <xdr:rowOff>180975</xdr:rowOff>
              </from>
              <to>
                <xdr:col>3</xdr:col>
                <xdr:colOff>304800</xdr:colOff>
                <xdr:row>48</xdr:row>
                <xdr:rowOff>19050</xdr:rowOff>
              </to>
            </anchor>
          </objectPr>
        </oleObject>
      </mc:Choice>
      <mc:Fallback>
        <oleObject progId="Equation.3" shapeId="20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M64"/>
  <sheetViews>
    <sheetView topLeftCell="A40" zoomScaleNormal="100" workbookViewId="0">
      <selection activeCell="C57" sqref="C57"/>
    </sheetView>
  </sheetViews>
  <sheetFormatPr defaultRowHeight="15"/>
  <cols>
    <col min="3" max="3" width="9.5703125" bestFit="1" customWidth="1"/>
    <col min="6" max="6" width="9.7109375" bestFit="1" customWidth="1"/>
    <col min="7" max="7" width="10.140625" customWidth="1"/>
    <col min="16" max="17" width="9.140625" customWidth="1"/>
    <col min="19" max="19" width="12.42578125" customWidth="1"/>
  </cols>
  <sheetData>
    <row r="2" spans="1:32">
      <c r="B2" s="263" t="s">
        <v>43</v>
      </c>
      <c r="C2" s="270">
        <f>'Evaluasi ESP'!F11</f>
        <v>2224.4495918367347</v>
      </c>
      <c r="D2" s="251" t="s">
        <v>17</v>
      </c>
      <c r="G2" s="14"/>
      <c r="H2" s="100"/>
      <c r="I2" s="99"/>
      <c r="J2" s="99"/>
      <c r="K2" s="99"/>
    </row>
    <row r="3" spans="1:32">
      <c r="B3" s="263" t="s">
        <v>44</v>
      </c>
      <c r="C3" s="271">
        <f>'Evaluasi ESP'!H35</f>
        <v>1665.4672046988003</v>
      </c>
      <c r="D3" s="251" t="s">
        <v>17</v>
      </c>
      <c r="G3" s="14"/>
      <c r="H3" s="100"/>
      <c r="I3" s="99"/>
      <c r="J3" s="99"/>
      <c r="K3" s="99"/>
    </row>
    <row r="4" spans="1:32">
      <c r="B4" s="263" t="s">
        <v>45</v>
      </c>
      <c r="C4" s="272">
        <f>'Evaluasi ESP'!F16</f>
        <v>2739</v>
      </c>
      <c r="D4" s="251" t="s">
        <v>46</v>
      </c>
      <c r="G4" s="14"/>
      <c r="H4" s="100"/>
      <c r="I4" s="99"/>
      <c r="J4" s="99"/>
      <c r="K4" s="99"/>
      <c r="V4" s="99"/>
      <c r="W4" s="99"/>
      <c r="X4" s="99"/>
      <c r="Y4" s="99"/>
      <c r="Z4" s="99"/>
      <c r="AA4" s="99"/>
      <c r="AB4" s="99"/>
      <c r="AC4" s="99"/>
      <c r="AD4" s="99"/>
      <c r="AE4" s="99"/>
      <c r="AF4" s="99"/>
    </row>
    <row r="5" spans="1:32">
      <c r="B5" s="263" t="s">
        <v>233</v>
      </c>
      <c r="C5" s="272">
        <v>1050</v>
      </c>
      <c r="D5" s="251" t="s">
        <v>17</v>
      </c>
      <c r="G5" s="14"/>
      <c r="H5" s="101"/>
      <c r="I5" s="99"/>
      <c r="J5" s="99"/>
      <c r="K5" s="99"/>
      <c r="V5" s="99"/>
      <c r="W5" s="99"/>
      <c r="X5" s="99"/>
      <c r="Y5" s="99"/>
      <c r="Z5" s="99"/>
      <c r="AA5" s="99"/>
      <c r="AB5" s="99"/>
      <c r="AC5" s="99"/>
      <c r="AD5" s="99"/>
      <c r="AE5" s="99"/>
      <c r="AF5" s="99"/>
    </row>
    <row r="6" spans="1:32">
      <c r="V6" s="99"/>
      <c r="W6" s="99"/>
      <c r="X6" s="99"/>
      <c r="Y6" s="99"/>
      <c r="Z6" s="99"/>
      <c r="AA6" s="99"/>
      <c r="AB6" s="99"/>
      <c r="AC6" s="99"/>
      <c r="AD6" s="99"/>
      <c r="AE6" s="99"/>
      <c r="AF6" s="99"/>
    </row>
    <row r="7" spans="1:32">
      <c r="B7" s="266" t="s">
        <v>91</v>
      </c>
      <c r="C7" s="264">
        <f>C4/(C2-C3)</f>
        <v>4.8999754965877385</v>
      </c>
      <c r="D7" s="6" t="s">
        <v>47</v>
      </c>
      <c r="E7" s="57"/>
      <c r="F7" s="57"/>
      <c r="G7" s="57"/>
      <c r="H7" s="57"/>
      <c r="V7" s="99"/>
      <c r="W7" s="99"/>
      <c r="X7" s="99"/>
      <c r="Y7" s="99"/>
      <c r="Z7" s="99"/>
      <c r="AA7" s="99"/>
      <c r="AB7" s="99"/>
      <c r="AC7" s="99"/>
      <c r="AD7" s="99"/>
      <c r="AE7" s="99"/>
      <c r="AF7" s="99"/>
    </row>
    <row r="8" spans="1:32">
      <c r="B8" s="266" t="s">
        <v>89</v>
      </c>
      <c r="C8" s="265">
        <f>C10+C11</f>
        <v>8613.093261653652</v>
      </c>
      <c r="D8" s="6" t="s">
        <v>46</v>
      </c>
      <c r="E8" s="57"/>
      <c r="F8" s="57"/>
      <c r="G8" s="57"/>
      <c r="H8" s="57"/>
      <c r="V8" s="99"/>
      <c r="W8" s="99"/>
      <c r="X8" s="99"/>
      <c r="Y8" s="99"/>
      <c r="Z8" s="99"/>
      <c r="AA8" s="99"/>
      <c r="AB8" s="99"/>
      <c r="AC8" s="99"/>
      <c r="AD8" s="99"/>
      <c r="AE8" s="99"/>
      <c r="AF8" s="99"/>
    </row>
    <row r="9" spans="1:32">
      <c r="B9" s="266" t="s">
        <v>260</v>
      </c>
      <c r="C9" s="265">
        <f>(70/100)*C8</f>
        <v>6029.1652831575557</v>
      </c>
      <c r="D9" s="6" t="s">
        <v>46</v>
      </c>
      <c r="E9" s="57"/>
      <c r="F9" s="57"/>
      <c r="G9" s="57"/>
      <c r="H9" s="57"/>
      <c r="V9" s="99"/>
      <c r="W9" s="99"/>
      <c r="X9" s="99"/>
      <c r="Y9" s="99"/>
      <c r="Z9" s="99"/>
      <c r="AA9" s="99"/>
      <c r="AB9" s="99"/>
      <c r="AC9" s="99"/>
      <c r="AD9" s="99"/>
      <c r="AE9" s="99"/>
      <c r="AF9" s="99"/>
    </row>
    <row r="10" spans="1:32">
      <c r="B10" s="266" t="s">
        <v>232</v>
      </c>
      <c r="C10" s="268">
        <f>C7*(C2-C5)</f>
        <v>5754.7742219774709</v>
      </c>
      <c r="D10" s="56" t="s">
        <v>46</v>
      </c>
      <c r="E10" s="57"/>
      <c r="F10" s="57"/>
      <c r="G10" s="57"/>
      <c r="H10" s="57"/>
      <c r="V10" s="99"/>
      <c r="W10" s="99"/>
      <c r="X10" s="99"/>
      <c r="Y10" s="99"/>
      <c r="Z10" s="99"/>
      <c r="AA10" s="99"/>
      <c r="AB10" s="99"/>
      <c r="AC10" s="99"/>
      <c r="AD10" s="99"/>
      <c r="AE10" s="99"/>
      <c r="AF10" s="99"/>
    </row>
    <row r="11" spans="1:32">
      <c r="B11" s="267" t="s">
        <v>261</v>
      </c>
      <c r="C11" s="269">
        <f>C7*C5/1.8</f>
        <v>2858.3190396761806</v>
      </c>
      <c r="D11" s="6" t="s">
        <v>46</v>
      </c>
      <c r="E11" s="57"/>
      <c r="F11" s="57"/>
      <c r="G11" s="57"/>
      <c r="H11" s="57"/>
      <c r="V11" s="99"/>
      <c r="W11" s="99"/>
      <c r="X11" s="99"/>
      <c r="Y11" s="99"/>
      <c r="Z11" s="99"/>
      <c r="AA11" s="99"/>
      <c r="AB11" s="99"/>
      <c r="AC11" s="99"/>
      <c r="AD11" s="99"/>
      <c r="AE11" s="99"/>
      <c r="AF11" s="99"/>
    </row>
    <row r="12" spans="1:32">
      <c r="A12" s="99"/>
      <c r="B12" s="57"/>
      <c r="C12" s="57"/>
      <c r="D12" s="57"/>
      <c r="E12" s="57"/>
      <c r="F12" s="57"/>
      <c r="G12" s="57"/>
      <c r="H12" s="57"/>
      <c r="V12" s="99"/>
      <c r="W12" s="99"/>
      <c r="X12" s="99"/>
      <c r="Y12" s="99"/>
      <c r="Z12" s="99"/>
      <c r="AA12" s="99"/>
      <c r="AB12" s="99"/>
      <c r="AC12" s="99"/>
      <c r="AD12" s="99"/>
      <c r="AE12" s="99"/>
      <c r="AF12" s="99"/>
    </row>
    <row r="13" spans="1:32">
      <c r="A13" s="99"/>
      <c r="B13" s="57"/>
      <c r="C13" s="57"/>
      <c r="D13" s="57"/>
      <c r="E13" s="57"/>
      <c r="F13" s="57"/>
      <c r="G13" s="57"/>
      <c r="H13" s="57"/>
      <c r="V13" s="99"/>
      <c r="W13" s="99"/>
      <c r="X13" s="99"/>
      <c r="Y13" s="99"/>
      <c r="Z13" s="99"/>
      <c r="AA13" s="99"/>
      <c r="AB13" s="99"/>
      <c r="AC13" s="99"/>
      <c r="AD13" s="99"/>
      <c r="AE13" s="99"/>
      <c r="AF13" s="99"/>
    </row>
    <row r="14" spans="1:32">
      <c r="V14" s="99"/>
      <c r="W14" s="99"/>
      <c r="X14" s="99"/>
      <c r="Y14" s="99"/>
      <c r="Z14" s="99"/>
      <c r="AA14" s="99"/>
      <c r="AB14" s="99"/>
      <c r="AC14" s="99"/>
      <c r="AD14" s="99"/>
      <c r="AE14" s="99"/>
      <c r="AF14" s="99"/>
    </row>
    <row r="15" spans="1:32">
      <c r="V15" s="99"/>
      <c r="W15" s="99"/>
      <c r="X15" s="99"/>
      <c r="Y15" s="99"/>
      <c r="Z15" s="99"/>
      <c r="AA15" s="99"/>
      <c r="AB15" s="99"/>
      <c r="AC15" s="99"/>
      <c r="AD15" s="99"/>
      <c r="AE15" s="99"/>
      <c r="AF15" s="99"/>
    </row>
    <row r="16" spans="1:32" hidden="1">
      <c r="V16" s="99"/>
      <c r="W16" s="99"/>
      <c r="X16" s="99"/>
      <c r="Y16" s="99"/>
      <c r="Z16" s="99"/>
      <c r="AA16" s="99"/>
      <c r="AB16" s="99"/>
      <c r="AC16" s="99"/>
      <c r="AD16" s="99"/>
      <c r="AE16" s="99"/>
      <c r="AF16" s="99"/>
    </row>
    <row r="17" spans="2:32" hidden="1">
      <c r="B17" s="11" t="s">
        <v>48</v>
      </c>
      <c r="C17" s="11" t="s">
        <v>49</v>
      </c>
      <c r="V17" s="99"/>
      <c r="W17" s="99"/>
      <c r="X17" s="99"/>
      <c r="Y17" s="99"/>
      <c r="Z17" s="99"/>
      <c r="AA17" s="99"/>
      <c r="AB17" s="99"/>
      <c r="AC17" s="99"/>
      <c r="AD17" s="99"/>
      <c r="AE17" s="99"/>
      <c r="AF17" s="99"/>
    </row>
    <row r="18" spans="2:32" hidden="1">
      <c r="B18" s="93">
        <f>C2</f>
        <v>2224.4495918367347</v>
      </c>
      <c r="C18" s="29">
        <f t="shared" ref="C18:C28" si="0">$C$8*(1-0.2*(B18/$C$2)-0.8*(B18/$C$2)^2)</f>
        <v>0</v>
      </c>
      <c r="V18" s="99"/>
      <c r="W18" s="99"/>
      <c r="X18" s="99"/>
      <c r="Y18" s="99"/>
      <c r="Z18" s="99"/>
      <c r="AA18" s="99"/>
      <c r="AB18" s="99"/>
      <c r="AC18" s="99"/>
      <c r="AD18" s="99"/>
      <c r="AE18" s="99"/>
      <c r="AF18" s="99"/>
    </row>
    <row r="19" spans="2:32" hidden="1">
      <c r="B19" s="17">
        <f>B18-(10%*$B$18)</f>
        <v>2002.0046326530612</v>
      </c>
      <c r="C19" s="30">
        <f t="shared" si="0"/>
        <v>1481.4520410044265</v>
      </c>
      <c r="V19" s="99"/>
      <c r="W19" s="99"/>
      <c r="X19" s="99"/>
      <c r="Y19" s="99"/>
      <c r="Z19" s="99"/>
      <c r="AA19" s="99"/>
      <c r="AB19" s="99"/>
      <c r="AC19" s="99"/>
      <c r="AD19" s="99"/>
      <c r="AE19" s="99"/>
      <c r="AF19" s="99"/>
    </row>
    <row r="20" spans="2:32" hidden="1">
      <c r="B20" s="17">
        <f t="shared" ref="B20:B27" si="1">B19-(10%*$B$18)</f>
        <v>1779.5596734693877</v>
      </c>
      <c r="C20" s="30">
        <f t="shared" si="0"/>
        <v>2825.0945898223986</v>
      </c>
      <c r="V20" s="99"/>
      <c r="W20" s="99"/>
      <c r="X20" s="99"/>
      <c r="Y20" s="99"/>
      <c r="Z20" s="99"/>
      <c r="AA20" s="99"/>
      <c r="AB20" s="99"/>
      <c r="AC20" s="99"/>
      <c r="AD20" s="99"/>
      <c r="AE20" s="99"/>
      <c r="AF20" s="99"/>
    </row>
    <row r="21" spans="2:32" hidden="1">
      <c r="B21" s="17">
        <f t="shared" si="1"/>
        <v>1557.1147142857142</v>
      </c>
      <c r="C21" s="30">
        <f t="shared" si="0"/>
        <v>4030.9276464539093</v>
      </c>
      <c r="V21" s="99"/>
      <c r="W21" s="99"/>
      <c r="X21" s="99"/>
      <c r="Y21" s="99"/>
      <c r="Z21" s="99"/>
      <c r="AA21" s="99"/>
      <c r="AB21" s="99"/>
      <c r="AC21" s="99"/>
      <c r="AD21" s="99"/>
      <c r="AE21" s="99"/>
      <c r="AF21" s="99"/>
    </row>
    <row r="22" spans="2:32" hidden="1">
      <c r="B22" s="17">
        <f t="shared" si="1"/>
        <v>1334.6697551020407</v>
      </c>
      <c r="C22" s="39">
        <f t="shared" si="0"/>
        <v>5098.9512108989629</v>
      </c>
      <c r="V22" s="99"/>
      <c r="W22" s="99"/>
      <c r="X22" s="99"/>
      <c r="Y22" s="99"/>
      <c r="Z22" s="99"/>
      <c r="AA22" s="99"/>
      <c r="AB22" s="99"/>
      <c r="AC22" s="99"/>
      <c r="AD22" s="99"/>
      <c r="AE22" s="99"/>
      <c r="AF22" s="99"/>
    </row>
    <row r="23" spans="2:32" hidden="1">
      <c r="B23" s="17">
        <f t="shared" si="1"/>
        <v>1112.2247959183671</v>
      </c>
      <c r="C23" s="39">
        <f t="shared" si="0"/>
        <v>6029.1652831575566</v>
      </c>
      <c r="V23" s="99"/>
      <c r="W23" s="99"/>
      <c r="X23" s="99"/>
      <c r="Y23" s="99"/>
      <c r="Z23" s="99"/>
      <c r="AA23" s="99"/>
      <c r="AB23" s="99"/>
      <c r="AC23" s="99"/>
      <c r="AD23" s="99"/>
      <c r="AE23" s="99"/>
      <c r="AF23" s="99"/>
    </row>
    <row r="24" spans="2:32" hidden="1">
      <c r="B24" s="17">
        <f t="shared" si="1"/>
        <v>889.77983673469362</v>
      </c>
      <c r="C24" s="39">
        <f t="shared" si="0"/>
        <v>6821.5698632296935</v>
      </c>
      <c r="V24" s="99"/>
      <c r="W24" s="99"/>
      <c r="X24" s="99"/>
      <c r="Y24" s="99"/>
      <c r="Z24" s="99"/>
      <c r="AA24" s="99"/>
      <c r="AB24" s="99"/>
      <c r="AC24" s="99"/>
      <c r="AD24" s="99"/>
      <c r="AE24" s="99"/>
      <c r="AF24" s="99"/>
    </row>
    <row r="25" spans="2:32" hidden="1">
      <c r="B25" s="17">
        <f t="shared" si="1"/>
        <v>667.3348775510201</v>
      </c>
      <c r="C25" s="39">
        <f t="shared" si="0"/>
        <v>7476.164951115371</v>
      </c>
      <c r="V25" s="99"/>
      <c r="W25" s="99"/>
      <c r="X25" s="99"/>
      <c r="Y25" s="99"/>
      <c r="Z25" s="99"/>
      <c r="AA25" s="99"/>
      <c r="AB25" s="99"/>
      <c r="AC25" s="99"/>
      <c r="AD25" s="99"/>
      <c r="AE25" s="99"/>
      <c r="AF25" s="99"/>
    </row>
    <row r="26" spans="2:32" hidden="1">
      <c r="B26" s="17">
        <f t="shared" si="1"/>
        <v>444.88991836734658</v>
      </c>
      <c r="C26" s="39">
        <f t="shared" si="0"/>
        <v>7992.9505468145908</v>
      </c>
      <c r="V26" s="99"/>
      <c r="W26" s="99"/>
      <c r="X26" s="99"/>
      <c r="Y26" s="99"/>
      <c r="Z26" s="99"/>
      <c r="AA26" s="99"/>
      <c r="AB26" s="99"/>
      <c r="AC26" s="99"/>
      <c r="AD26" s="99"/>
      <c r="AE26" s="99"/>
      <c r="AF26" s="99"/>
    </row>
    <row r="27" spans="2:32" hidden="1">
      <c r="B27" s="17">
        <f t="shared" si="1"/>
        <v>222.44495918367309</v>
      </c>
      <c r="C27" s="39">
        <f t="shared" si="0"/>
        <v>8371.9266503273502</v>
      </c>
      <c r="V27" s="99"/>
      <c r="W27" s="99"/>
      <c r="X27" s="99"/>
      <c r="Y27" s="99"/>
      <c r="Z27" s="99"/>
      <c r="AA27" s="99"/>
      <c r="AB27" s="99"/>
      <c r="AC27" s="99"/>
      <c r="AD27" s="99"/>
      <c r="AE27" s="99"/>
      <c r="AF27" s="99"/>
    </row>
    <row r="28" spans="2:32" hidden="1">
      <c r="B28" s="94">
        <v>0</v>
      </c>
      <c r="C28" s="98">
        <f t="shared" si="0"/>
        <v>8613.093261653652</v>
      </c>
      <c r="V28" s="99"/>
      <c r="W28" s="99"/>
      <c r="X28" s="99"/>
      <c r="Y28" s="99"/>
      <c r="Z28" s="99"/>
      <c r="AA28" s="99"/>
      <c r="AB28" s="99"/>
      <c r="AC28" s="99"/>
      <c r="AD28" s="99"/>
      <c r="AE28" s="99"/>
      <c r="AF28" s="99"/>
    </row>
    <row r="29" spans="2:32" hidden="1">
      <c r="B29" s="96"/>
      <c r="C29" s="97"/>
      <c r="E29" t="s">
        <v>41</v>
      </c>
      <c r="V29" s="99"/>
      <c r="W29" s="99"/>
      <c r="X29" s="99"/>
      <c r="Y29" s="99"/>
      <c r="Z29" s="99"/>
      <c r="AA29" s="99"/>
      <c r="AB29" s="99"/>
      <c r="AC29" s="99"/>
      <c r="AD29" s="99"/>
      <c r="AE29" s="99"/>
      <c r="AF29" s="99"/>
    </row>
    <row r="30" spans="2:32" hidden="1">
      <c r="B30" s="33"/>
      <c r="C30" s="95"/>
      <c r="V30" s="99"/>
      <c r="W30" s="99"/>
      <c r="X30" s="99"/>
      <c r="Y30" s="99"/>
      <c r="Z30" s="99"/>
      <c r="AA30" s="99"/>
      <c r="AB30" s="99"/>
      <c r="AC30" s="99"/>
      <c r="AD30" s="99"/>
      <c r="AE30" s="99"/>
      <c r="AF30" s="99"/>
    </row>
    <row r="31" spans="2:32" hidden="1">
      <c r="B31" s="33"/>
      <c r="C31" s="95"/>
      <c r="V31" s="99"/>
      <c r="W31" s="99"/>
      <c r="X31" s="99"/>
      <c r="Y31" s="99"/>
      <c r="Z31" s="99"/>
      <c r="AA31" s="99"/>
      <c r="AB31" s="99"/>
      <c r="AC31" s="99"/>
      <c r="AD31" s="99"/>
      <c r="AE31" s="99"/>
      <c r="AF31" s="99"/>
    </row>
    <row r="32" spans="2:32" hidden="1">
      <c r="B32" s="33"/>
      <c r="C32" s="95"/>
      <c r="V32" s="99"/>
      <c r="W32" s="99"/>
      <c r="X32" s="99"/>
      <c r="Y32" s="99"/>
      <c r="Z32" s="99"/>
      <c r="AA32" s="99"/>
      <c r="AB32" s="99"/>
      <c r="AC32" s="99"/>
      <c r="AD32" s="99"/>
      <c r="AE32" s="99"/>
      <c r="AF32" s="99"/>
    </row>
    <row r="33" spans="2:39" hidden="1">
      <c r="B33" s="33"/>
      <c r="C33" s="38"/>
      <c r="V33" s="99"/>
      <c r="W33" s="99"/>
      <c r="X33" s="99"/>
      <c r="Y33" s="99"/>
      <c r="Z33" s="99"/>
      <c r="AA33" s="99"/>
      <c r="AB33" s="99"/>
      <c r="AC33" s="99"/>
      <c r="AD33" s="99"/>
      <c r="AE33" s="99"/>
      <c r="AF33" s="99"/>
    </row>
    <row r="34" spans="2:39" hidden="1">
      <c r="B34" s="14"/>
      <c r="C34" s="38"/>
      <c r="G34" s="12"/>
      <c r="H34" s="12"/>
      <c r="I34" s="12"/>
      <c r="J34" s="12"/>
      <c r="K34" s="12"/>
      <c r="L34" s="12"/>
      <c r="M34" s="12"/>
      <c r="V34" s="99"/>
      <c r="W34" s="99"/>
      <c r="X34" s="99"/>
      <c r="Y34" s="99"/>
      <c r="Z34" s="99"/>
      <c r="AA34" s="99"/>
      <c r="AB34" s="99"/>
      <c r="AC34" s="99"/>
      <c r="AD34" s="99"/>
      <c r="AE34" s="99"/>
      <c r="AF34" s="99"/>
    </row>
    <row r="35" spans="2:39" hidden="1">
      <c r="B35" s="31" t="s">
        <v>50</v>
      </c>
      <c r="C35" s="32"/>
      <c r="G35" s="57"/>
      <c r="H35" s="57"/>
      <c r="I35" s="57"/>
      <c r="J35" s="57"/>
      <c r="K35" s="57"/>
      <c r="L35" s="58"/>
      <c r="M35" s="57"/>
      <c r="V35" s="99"/>
      <c r="W35" s="99"/>
      <c r="X35" s="99"/>
      <c r="Y35" s="99"/>
      <c r="Z35" s="99"/>
      <c r="AA35" s="99"/>
      <c r="AB35" s="99"/>
      <c r="AC35" s="99"/>
      <c r="AD35" s="99"/>
      <c r="AE35" s="99"/>
      <c r="AF35" s="99"/>
    </row>
    <row r="36" spans="2:39" hidden="1">
      <c r="G36" s="57"/>
      <c r="H36" s="57"/>
      <c r="I36" s="57"/>
      <c r="J36" s="57"/>
      <c r="K36" s="57"/>
      <c r="L36" s="57"/>
      <c r="M36" s="57"/>
      <c r="V36" s="99"/>
      <c r="W36" s="99"/>
      <c r="X36" s="99"/>
      <c r="Y36" s="99"/>
      <c r="Z36" s="99"/>
      <c r="AA36" s="99"/>
      <c r="AB36" s="99"/>
      <c r="AC36" s="99"/>
      <c r="AD36" s="99"/>
      <c r="AE36" s="99"/>
      <c r="AF36" s="99"/>
    </row>
    <row r="37" spans="2:39" hidden="1">
      <c r="B37" t="s">
        <v>116</v>
      </c>
      <c r="C37" s="64">
        <f>((-0.2+(SQRT(0.04-3.2*((C9/C8)-1))))/1.6)*C2</f>
        <v>1112.2247959183674</v>
      </c>
      <c r="D37" t="s">
        <v>17</v>
      </c>
      <c r="G37" s="12"/>
      <c r="H37" s="12"/>
      <c r="I37" s="12"/>
      <c r="J37" s="12"/>
      <c r="K37" s="12"/>
      <c r="L37" s="12"/>
      <c r="M37" s="12"/>
      <c r="V37" s="99"/>
      <c r="W37" s="99"/>
      <c r="X37" s="99"/>
      <c r="Y37" s="99"/>
      <c r="Z37" s="99"/>
      <c r="AA37" s="99"/>
      <c r="AB37" s="99"/>
      <c r="AC37" s="99"/>
      <c r="AD37" s="99"/>
      <c r="AE37" s="99"/>
      <c r="AF37" s="99"/>
    </row>
    <row r="38" spans="2:39" hidden="1">
      <c r="B38" t="s">
        <v>51</v>
      </c>
      <c r="C38" s="52">
        <f>'Evaluasi ESP'!N6-(IPR!C37/'Evaluasi ESP'!H33)</f>
        <v>3869.626432922174</v>
      </c>
      <c r="G38" s="12"/>
      <c r="H38" s="12"/>
      <c r="I38" s="12"/>
      <c r="J38" s="12"/>
      <c r="K38" s="12"/>
      <c r="L38" s="12"/>
      <c r="M38" s="12"/>
      <c r="V38" s="99"/>
      <c r="W38" s="99"/>
      <c r="X38" s="99"/>
      <c r="Y38" s="99"/>
      <c r="Z38" s="99"/>
      <c r="AA38" s="99"/>
      <c r="AB38" s="99"/>
      <c r="AC38" s="99"/>
      <c r="AD38" s="99"/>
      <c r="AE38" s="99"/>
      <c r="AF38" s="99"/>
    </row>
    <row r="39" spans="2:39" hidden="1">
      <c r="C39" s="40"/>
      <c r="V39" s="99"/>
      <c r="W39" s="99"/>
      <c r="X39" s="99"/>
      <c r="Y39" s="99"/>
      <c r="Z39" s="99"/>
      <c r="AA39" s="99"/>
      <c r="AB39" s="99"/>
      <c r="AC39" s="99"/>
      <c r="AD39" s="99"/>
      <c r="AE39" s="99"/>
      <c r="AF39" s="99"/>
    </row>
    <row r="40" spans="2:39">
      <c r="V40" s="99"/>
      <c r="W40" s="99"/>
      <c r="X40" s="99"/>
      <c r="Y40" s="99"/>
      <c r="Z40" s="99"/>
      <c r="AA40" s="99"/>
      <c r="AB40" s="99"/>
      <c r="AC40" s="99"/>
      <c r="AD40" s="99"/>
      <c r="AE40" s="99"/>
      <c r="AF40" s="99"/>
    </row>
    <row r="41" spans="2:39">
      <c r="B41" s="223" t="s">
        <v>48</v>
      </c>
      <c r="C41" s="223" t="s">
        <v>49</v>
      </c>
      <c r="Q41" s="273"/>
      <c r="R41" s="57"/>
      <c r="S41" s="57"/>
      <c r="T41" s="57"/>
      <c r="U41" s="57"/>
      <c r="V41" s="57"/>
      <c r="W41" s="57"/>
      <c r="X41" s="99"/>
      <c r="Y41" s="99"/>
      <c r="Z41" s="99"/>
      <c r="AA41" s="99"/>
      <c r="AB41" s="99"/>
      <c r="AC41" s="99"/>
      <c r="AD41" s="99"/>
      <c r="AE41" s="99"/>
      <c r="AF41" s="99"/>
    </row>
    <row r="42" spans="2:39">
      <c r="B42" s="275">
        <f>C2</f>
        <v>2224.4495918367347</v>
      </c>
      <c r="C42" s="276">
        <f t="shared" ref="C42:C50" si="2">C$7*(C$2-B42)</f>
        <v>0</v>
      </c>
      <c r="Q42" s="57"/>
      <c r="R42" s="57"/>
      <c r="S42" s="57"/>
      <c r="T42" s="57"/>
      <c r="U42" s="57"/>
      <c r="V42" s="57"/>
      <c r="W42" s="57"/>
      <c r="X42" s="99"/>
      <c r="Y42" s="99"/>
      <c r="Z42" s="99"/>
      <c r="AA42" s="99"/>
      <c r="AB42" s="99"/>
      <c r="AC42" s="99"/>
      <c r="AD42" s="99"/>
      <c r="AE42" s="99"/>
      <c r="AF42" s="99"/>
    </row>
    <row r="43" spans="2:39">
      <c r="B43" s="15">
        <v>2000</v>
      </c>
      <c r="C43" s="39">
        <f t="shared" si="2"/>
        <v>1099.7975002191195</v>
      </c>
      <c r="Q43" s="274"/>
      <c r="R43" s="274"/>
      <c r="S43" s="213"/>
      <c r="T43" s="213"/>
      <c r="U43" s="14"/>
      <c r="V43" s="57"/>
      <c r="W43" s="57"/>
      <c r="X43" s="99"/>
      <c r="Y43" s="99"/>
      <c r="Z43" s="99"/>
      <c r="AA43" s="99"/>
      <c r="AB43" s="99"/>
      <c r="AC43" s="99"/>
      <c r="AD43" s="99"/>
      <c r="AE43" s="99"/>
      <c r="AF43" s="99"/>
      <c r="AG43" s="99"/>
      <c r="AH43" s="99"/>
    </row>
    <row r="44" spans="2:39">
      <c r="B44" s="15">
        <v>1950</v>
      </c>
      <c r="C44" s="39">
        <f t="shared" si="2"/>
        <v>1344.7962750485065</v>
      </c>
      <c r="Q44" s="274"/>
      <c r="R44" s="274"/>
      <c r="S44" s="213"/>
      <c r="T44" s="213"/>
      <c r="U44" s="14"/>
      <c r="V44" s="57"/>
      <c r="W44" s="57"/>
      <c r="X44" s="99"/>
      <c r="Y44" s="99"/>
      <c r="Z44" s="99"/>
      <c r="AA44" s="99"/>
      <c r="AB44" s="99"/>
      <c r="AC44" s="99"/>
      <c r="AD44" s="99"/>
      <c r="AE44" s="99"/>
      <c r="AF44" s="99"/>
      <c r="AG44" s="99"/>
      <c r="AH44" s="99"/>
    </row>
    <row r="45" spans="2:39">
      <c r="B45" s="15">
        <v>1800</v>
      </c>
      <c r="C45" s="39">
        <f t="shared" si="2"/>
        <v>2079.7925995366672</v>
      </c>
      <c r="Q45" s="274"/>
      <c r="R45" s="274"/>
      <c r="S45" s="213"/>
      <c r="T45" s="213"/>
      <c r="U45" s="14"/>
      <c r="V45" s="57"/>
      <c r="W45" s="57"/>
      <c r="X45" s="99"/>
      <c r="Y45" s="99"/>
      <c r="Z45" s="99"/>
      <c r="AA45" s="99"/>
      <c r="AB45" s="99"/>
      <c r="AC45" s="99"/>
      <c r="AD45" s="99"/>
      <c r="AE45" s="99"/>
      <c r="AF45" s="99"/>
      <c r="AG45" s="99"/>
      <c r="AH45" s="99"/>
    </row>
    <row r="46" spans="2:39">
      <c r="B46" s="277">
        <v>1665</v>
      </c>
      <c r="C46" s="262">
        <f t="shared" si="2"/>
        <v>2741.2892915760117</v>
      </c>
      <c r="E46" t="s">
        <v>262</v>
      </c>
      <c r="Q46" s="57"/>
      <c r="R46" s="57"/>
      <c r="S46" s="57"/>
      <c r="T46" s="57"/>
      <c r="U46" s="57"/>
      <c r="V46" s="57"/>
      <c r="W46" s="57"/>
      <c r="X46" s="99"/>
      <c r="Y46" s="99"/>
      <c r="Z46" s="99"/>
      <c r="AA46" s="99"/>
      <c r="AB46" s="99"/>
      <c r="AC46" s="99"/>
      <c r="AD46" s="99"/>
      <c r="AE46" s="99"/>
      <c r="AF46" s="99"/>
      <c r="AG46" s="99"/>
      <c r="AH46" s="99"/>
    </row>
    <row r="47" spans="2:39">
      <c r="B47" s="15">
        <v>1500</v>
      </c>
      <c r="C47" s="39">
        <f t="shared" si="2"/>
        <v>3549.7852485129888</v>
      </c>
      <c r="E47" s="281"/>
      <c r="F47" s="198" t="s">
        <v>264</v>
      </c>
      <c r="AH47" s="99"/>
      <c r="AI47" s="99"/>
      <c r="AJ47" s="99"/>
      <c r="AK47" s="99"/>
      <c r="AL47" s="99"/>
      <c r="AM47" s="99"/>
    </row>
    <row r="48" spans="2:39">
      <c r="B48" s="15">
        <v>1350</v>
      </c>
      <c r="C48" s="39">
        <f t="shared" si="2"/>
        <v>4284.7815730011498</v>
      </c>
      <c r="E48" s="280"/>
      <c r="F48" t="s">
        <v>263</v>
      </c>
      <c r="AH48" s="99"/>
      <c r="AI48" s="99"/>
      <c r="AJ48" s="99"/>
      <c r="AK48" s="99"/>
      <c r="AL48" s="99"/>
      <c r="AM48" s="99"/>
    </row>
    <row r="49" spans="2:39">
      <c r="B49" s="15">
        <v>1200</v>
      </c>
      <c r="C49" s="39">
        <f t="shared" si="2"/>
        <v>5019.7778974893099</v>
      </c>
      <c r="AH49" s="99"/>
      <c r="AI49" s="99"/>
      <c r="AJ49" s="99"/>
      <c r="AK49" s="99"/>
      <c r="AL49" s="99"/>
      <c r="AM49" s="99"/>
    </row>
    <row r="50" spans="2:39">
      <c r="B50" s="15">
        <v>1050</v>
      </c>
      <c r="C50" s="39">
        <f t="shared" si="2"/>
        <v>5754.7742219774709</v>
      </c>
      <c r="AH50" s="99"/>
      <c r="AI50" s="99"/>
      <c r="AJ50" s="99"/>
      <c r="AK50" s="99"/>
      <c r="AL50" s="99"/>
      <c r="AM50" s="99"/>
    </row>
    <row r="51" spans="2:39">
      <c r="B51" s="278">
        <v>992.7</v>
      </c>
      <c r="C51" s="279">
        <f t="shared" ref="C51:C57" si="3">C$10+((C$8-C$10)*(1-(0.2*(B51/C$5))-(0.8*((B51/C$5)^2))))</f>
        <v>6028.7330653189565</v>
      </c>
      <c r="AH51" s="99"/>
      <c r="AI51" s="99"/>
      <c r="AJ51" s="99"/>
      <c r="AK51" s="99"/>
      <c r="AL51" s="99"/>
      <c r="AM51" s="99"/>
    </row>
    <row r="52" spans="2:39">
      <c r="B52" s="39">
        <v>750</v>
      </c>
      <c r="C52" s="39">
        <f t="shared" si="3"/>
        <v>7038.1011377504501</v>
      </c>
      <c r="AH52" s="99"/>
      <c r="AI52" s="99"/>
      <c r="AJ52" s="99"/>
      <c r="AK52" s="99"/>
      <c r="AL52" s="99"/>
      <c r="AM52" s="99"/>
    </row>
    <row r="53" spans="2:39">
      <c r="B53" s="15">
        <v>600</v>
      </c>
      <c r="C53" s="39">
        <f t="shared" si="3"/>
        <v>7539.7652957344326</v>
      </c>
      <c r="AH53" s="99"/>
      <c r="AI53" s="99"/>
      <c r="AJ53" s="99"/>
      <c r="AK53" s="99"/>
      <c r="AL53" s="99"/>
      <c r="AM53" s="99"/>
    </row>
    <row r="54" spans="2:39">
      <c r="B54" s="15">
        <v>450</v>
      </c>
      <c r="C54" s="39">
        <f t="shared" si="3"/>
        <v>7948.0965871167446</v>
      </c>
      <c r="AH54" s="99"/>
      <c r="AI54" s="99"/>
      <c r="AJ54" s="99"/>
      <c r="AK54" s="99"/>
      <c r="AL54" s="99"/>
      <c r="AM54" s="99"/>
    </row>
    <row r="55" spans="2:39">
      <c r="B55" s="15">
        <v>300</v>
      </c>
      <c r="C55" s="39">
        <f t="shared" si="3"/>
        <v>8263.0950118973851</v>
      </c>
      <c r="AH55" s="99"/>
      <c r="AI55" s="99"/>
      <c r="AJ55" s="99"/>
      <c r="AK55" s="99"/>
      <c r="AL55" s="99"/>
      <c r="AM55" s="99"/>
    </row>
    <row r="56" spans="2:39">
      <c r="B56" s="15">
        <v>150</v>
      </c>
      <c r="C56" s="39">
        <f t="shared" si="3"/>
        <v>8484.7605700763543</v>
      </c>
      <c r="AH56" s="99"/>
      <c r="AI56" s="99"/>
      <c r="AJ56" s="99"/>
      <c r="AK56" s="99"/>
      <c r="AL56" s="99"/>
      <c r="AM56" s="99"/>
    </row>
    <row r="57" spans="2:39">
      <c r="B57" s="15">
        <v>0</v>
      </c>
      <c r="C57" s="39">
        <f t="shared" si="3"/>
        <v>8613.093261653652</v>
      </c>
      <c r="AH57" s="99"/>
      <c r="AI57" s="99"/>
      <c r="AJ57" s="99"/>
      <c r="AK57" s="99"/>
      <c r="AL57" s="99"/>
      <c r="AM57" s="99"/>
    </row>
    <row r="58" spans="2:39">
      <c r="AH58" s="99"/>
      <c r="AI58" s="99"/>
      <c r="AJ58" s="99"/>
      <c r="AK58" s="99"/>
      <c r="AL58" s="99"/>
      <c r="AM58" s="99"/>
    </row>
    <row r="59" spans="2:39">
      <c r="AH59" s="99"/>
      <c r="AI59" s="99"/>
      <c r="AJ59" s="99"/>
      <c r="AK59" s="99"/>
      <c r="AL59" s="99"/>
      <c r="AM59" s="99"/>
    </row>
    <row r="60" spans="2:39">
      <c r="W60" s="99"/>
      <c r="X60" s="99"/>
      <c r="Y60" s="99"/>
      <c r="Z60" s="99"/>
      <c r="AA60" s="99"/>
      <c r="AB60" s="99"/>
      <c r="AI60" s="99"/>
      <c r="AJ60" s="99"/>
      <c r="AK60" s="99"/>
      <c r="AL60" s="99"/>
      <c r="AM60" s="99"/>
    </row>
    <row r="61" spans="2:39">
      <c r="X61" s="99"/>
      <c r="Y61" s="99"/>
      <c r="Z61" s="99"/>
      <c r="AA61" s="99"/>
      <c r="AB61" s="99"/>
      <c r="AC61" s="99"/>
      <c r="AD61" s="99"/>
      <c r="AE61" s="99"/>
      <c r="AF61" s="99"/>
      <c r="AG61" s="99"/>
      <c r="AH61" s="99"/>
    </row>
    <row r="62" spans="2:39">
      <c r="X62" s="99"/>
      <c r="Y62" s="99"/>
      <c r="Z62" s="99"/>
      <c r="AA62" s="99"/>
      <c r="AB62" s="99"/>
      <c r="AC62" s="99"/>
      <c r="AD62" s="99"/>
      <c r="AE62" s="99"/>
      <c r="AF62" s="99"/>
      <c r="AG62" s="99"/>
      <c r="AH62" s="99"/>
    </row>
    <row r="63" spans="2:39">
      <c r="X63" s="99"/>
      <c r="Y63" s="99"/>
      <c r="Z63" s="99"/>
      <c r="AA63" s="99"/>
      <c r="AB63" s="99"/>
      <c r="AC63" s="99"/>
      <c r="AD63" s="99"/>
      <c r="AE63" s="99"/>
      <c r="AF63" s="99"/>
      <c r="AG63" s="99"/>
      <c r="AH63" s="99"/>
    </row>
    <row r="64" spans="2:39">
      <c r="X64" s="99"/>
      <c r="Y64" s="99"/>
      <c r="Z64" s="99"/>
      <c r="AA64" s="99"/>
      <c r="AB64" s="99"/>
      <c r="AC64" s="99"/>
      <c r="AD64" s="99"/>
      <c r="AE64" s="99"/>
      <c r="AF64" s="99"/>
      <c r="AG64" s="99"/>
      <c r="AH64" s="99"/>
    </row>
  </sheetData>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04"/>
  <sheetViews>
    <sheetView view="pageBreakPreview" topLeftCell="A46" zoomScaleNormal="100" workbookViewId="0">
      <selection activeCell="I6" sqref="I6"/>
    </sheetView>
  </sheetViews>
  <sheetFormatPr defaultRowHeight="13.5"/>
  <cols>
    <col min="1" max="1" width="20.42578125" style="289" customWidth="1"/>
    <col min="2" max="3" width="13.85546875" style="289" customWidth="1"/>
    <col min="4" max="4" width="3.140625" style="289" customWidth="1"/>
    <col min="5" max="5" width="16" style="289" customWidth="1"/>
    <col min="6" max="6" width="24" style="289" customWidth="1"/>
    <col min="7" max="7" width="19.85546875" style="289" customWidth="1"/>
    <col min="8" max="256" width="9.140625" style="289"/>
    <col min="257" max="257" width="20.42578125" style="289" customWidth="1"/>
    <col min="258" max="259" width="13.85546875" style="289" customWidth="1"/>
    <col min="260" max="260" width="3.140625" style="289" customWidth="1"/>
    <col min="261" max="261" width="16" style="289" customWidth="1"/>
    <col min="262" max="262" width="24" style="289" customWidth="1"/>
    <col min="263" max="263" width="19.85546875" style="289" customWidth="1"/>
    <col min="264" max="512" width="9.140625" style="289"/>
    <col min="513" max="513" width="20.42578125" style="289" customWidth="1"/>
    <col min="514" max="515" width="13.85546875" style="289" customWidth="1"/>
    <col min="516" max="516" width="3.140625" style="289" customWidth="1"/>
    <col min="517" max="517" width="16" style="289" customWidth="1"/>
    <col min="518" max="518" width="24" style="289" customWidth="1"/>
    <col min="519" max="519" width="19.85546875" style="289" customWidth="1"/>
    <col min="520" max="768" width="9.140625" style="289"/>
    <col min="769" max="769" width="20.42578125" style="289" customWidth="1"/>
    <col min="770" max="771" width="13.85546875" style="289" customWidth="1"/>
    <col min="772" max="772" width="3.140625" style="289" customWidth="1"/>
    <col min="773" max="773" width="16" style="289" customWidth="1"/>
    <col min="774" max="774" width="24" style="289" customWidth="1"/>
    <col min="775" max="775" width="19.85546875" style="289" customWidth="1"/>
    <col min="776" max="1024" width="9.140625" style="289"/>
    <col min="1025" max="1025" width="20.42578125" style="289" customWidth="1"/>
    <col min="1026" max="1027" width="13.85546875" style="289" customWidth="1"/>
    <col min="1028" max="1028" width="3.140625" style="289" customWidth="1"/>
    <col min="1029" max="1029" width="16" style="289" customWidth="1"/>
    <col min="1030" max="1030" width="24" style="289" customWidth="1"/>
    <col min="1031" max="1031" width="19.85546875" style="289" customWidth="1"/>
    <col min="1032" max="1280" width="9.140625" style="289"/>
    <col min="1281" max="1281" width="20.42578125" style="289" customWidth="1"/>
    <col min="1282" max="1283" width="13.85546875" style="289" customWidth="1"/>
    <col min="1284" max="1284" width="3.140625" style="289" customWidth="1"/>
    <col min="1285" max="1285" width="16" style="289" customWidth="1"/>
    <col min="1286" max="1286" width="24" style="289" customWidth="1"/>
    <col min="1287" max="1287" width="19.85546875" style="289" customWidth="1"/>
    <col min="1288" max="1536" width="9.140625" style="289"/>
    <col min="1537" max="1537" width="20.42578125" style="289" customWidth="1"/>
    <col min="1538" max="1539" width="13.85546875" style="289" customWidth="1"/>
    <col min="1540" max="1540" width="3.140625" style="289" customWidth="1"/>
    <col min="1541" max="1541" width="16" style="289" customWidth="1"/>
    <col min="1542" max="1542" width="24" style="289" customWidth="1"/>
    <col min="1543" max="1543" width="19.85546875" style="289" customWidth="1"/>
    <col min="1544" max="1792" width="9.140625" style="289"/>
    <col min="1793" max="1793" width="20.42578125" style="289" customWidth="1"/>
    <col min="1794" max="1795" width="13.85546875" style="289" customWidth="1"/>
    <col min="1796" max="1796" width="3.140625" style="289" customWidth="1"/>
    <col min="1797" max="1797" width="16" style="289" customWidth="1"/>
    <col min="1798" max="1798" width="24" style="289" customWidth="1"/>
    <col min="1799" max="1799" width="19.85546875" style="289" customWidth="1"/>
    <col min="1800" max="2048" width="9.140625" style="289"/>
    <col min="2049" max="2049" width="20.42578125" style="289" customWidth="1"/>
    <col min="2050" max="2051" width="13.85546875" style="289" customWidth="1"/>
    <col min="2052" max="2052" width="3.140625" style="289" customWidth="1"/>
    <col min="2053" max="2053" width="16" style="289" customWidth="1"/>
    <col min="2054" max="2054" width="24" style="289" customWidth="1"/>
    <col min="2055" max="2055" width="19.85546875" style="289" customWidth="1"/>
    <col min="2056" max="2304" width="9.140625" style="289"/>
    <col min="2305" max="2305" width="20.42578125" style="289" customWidth="1"/>
    <col min="2306" max="2307" width="13.85546875" style="289" customWidth="1"/>
    <col min="2308" max="2308" width="3.140625" style="289" customWidth="1"/>
    <col min="2309" max="2309" width="16" style="289" customWidth="1"/>
    <col min="2310" max="2310" width="24" style="289" customWidth="1"/>
    <col min="2311" max="2311" width="19.85546875" style="289" customWidth="1"/>
    <col min="2312" max="2560" width="9.140625" style="289"/>
    <col min="2561" max="2561" width="20.42578125" style="289" customWidth="1"/>
    <col min="2562" max="2563" width="13.85546875" style="289" customWidth="1"/>
    <col min="2564" max="2564" width="3.140625" style="289" customWidth="1"/>
    <col min="2565" max="2565" width="16" style="289" customWidth="1"/>
    <col min="2566" max="2566" width="24" style="289" customWidth="1"/>
    <col min="2567" max="2567" width="19.85546875" style="289" customWidth="1"/>
    <col min="2568" max="2816" width="9.140625" style="289"/>
    <col min="2817" max="2817" width="20.42578125" style="289" customWidth="1"/>
    <col min="2818" max="2819" width="13.85546875" style="289" customWidth="1"/>
    <col min="2820" max="2820" width="3.140625" style="289" customWidth="1"/>
    <col min="2821" max="2821" width="16" style="289" customWidth="1"/>
    <col min="2822" max="2822" width="24" style="289" customWidth="1"/>
    <col min="2823" max="2823" width="19.85546875" style="289" customWidth="1"/>
    <col min="2824" max="3072" width="9.140625" style="289"/>
    <col min="3073" max="3073" width="20.42578125" style="289" customWidth="1"/>
    <col min="3074" max="3075" width="13.85546875" style="289" customWidth="1"/>
    <col min="3076" max="3076" width="3.140625" style="289" customWidth="1"/>
    <col min="3077" max="3077" width="16" style="289" customWidth="1"/>
    <col min="3078" max="3078" width="24" style="289" customWidth="1"/>
    <col min="3079" max="3079" width="19.85546875" style="289" customWidth="1"/>
    <col min="3080" max="3328" width="9.140625" style="289"/>
    <col min="3329" max="3329" width="20.42578125" style="289" customWidth="1"/>
    <col min="3330" max="3331" width="13.85546875" style="289" customWidth="1"/>
    <col min="3332" max="3332" width="3.140625" style="289" customWidth="1"/>
    <col min="3333" max="3333" width="16" style="289" customWidth="1"/>
    <col min="3334" max="3334" width="24" style="289" customWidth="1"/>
    <col min="3335" max="3335" width="19.85546875" style="289" customWidth="1"/>
    <col min="3336" max="3584" width="9.140625" style="289"/>
    <col min="3585" max="3585" width="20.42578125" style="289" customWidth="1"/>
    <col min="3586" max="3587" width="13.85546875" style="289" customWidth="1"/>
    <col min="3588" max="3588" width="3.140625" style="289" customWidth="1"/>
    <col min="3589" max="3589" width="16" style="289" customWidth="1"/>
    <col min="3590" max="3590" width="24" style="289" customWidth="1"/>
    <col min="3591" max="3591" width="19.85546875" style="289" customWidth="1"/>
    <col min="3592" max="3840" width="9.140625" style="289"/>
    <col min="3841" max="3841" width="20.42578125" style="289" customWidth="1"/>
    <col min="3842" max="3843" width="13.85546875" style="289" customWidth="1"/>
    <col min="3844" max="3844" width="3.140625" style="289" customWidth="1"/>
    <col min="3845" max="3845" width="16" style="289" customWidth="1"/>
    <col min="3846" max="3846" width="24" style="289" customWidth="1"/>
    <col min="3847" max="3847" width="19.85546875" style="289" customWidth="1"/>
    <col min="3848" max="4096" width="9.140625" style="289"/>
    <col min="4097" max="4097" width="20.42578125" style="289" customWidth="1"/>
    <col min="4098" max="4099" width="13.85546875" style="289" customWidth="1"/>
    <col min="4100" max="4100" width="3.140625" style="289" customWidth="1"/>
    <col min="4101" max="4101" width="16" style="289" customWidth="1"/>
    <col min="4102" max="4102" width="24" style="289" customWidth="1"/>
    <col min="4103" max="4103" width="19.85546875" style="289" customWidth="1"/>
    <col min="4104" max="4352" width="9.140625" style="289"/>
    <col min="4353" max="4353" width="20.42578125" style="289" customWidth="1"/>
    <col min="4354" max="4355" width="13.85546875" style="289" customWidth="1"/>
    <col min="4356" max="4356" width="3.140625" style="289" customWidth="1"/>
    <col min="4357" max="4357" width="16" style="289" customWidth="1"/>
    <col min="4358" max="4358" width="24" style="289" customWidth="1"/>
    <col min="4359" max="4359" width="19.85546875" style="289" customWidth="1"/>
    <col min="4360" max="4608" width="9.140625" style="289"/>
    <col min="4609" max="4609" width="20.42578125" style="289" customWidth="1"/>
    <col min="4610" max="4611" width="13.85546875" style="289" customWidth="1"/>
    <col min="4612" max="4612" width="3.140625" style="289" customWidth="1"/>
    <col min="4613" max="4613" width="16" style="289" customWidth="1"/>
    <col min="4614" max="4614" width="24" style="289" customWidth="1"/>
    <col min="4615" max="4615" width="19.85546875" style="289" customWidth="1"/>
    <col min="4616" max="4864" width="9.140625" style="289"/>
    <col min="4865" max="4865" width="20.42578125" style="289" customWidth="1"/>
    <col min="4866" max="4867" width="13.85546875" style="289" customWidth="1"/>
    <col min="4868" max="4868" width="3.140625" style="289" customWidth="1"/>
    <col min="4869" max="4869" width="16" style="289" customWidth="1"/>
    <col min="4870" max="4870" width="24" style="289" customWidth="1"/>
    <col min="4871" max="4871" width="19.85546875" style="289" customWidth="1"/>
    <col min="4872" max="5120" width="9.140625" style="289"/>
    <col min="5121" max="5121" width="20.42578125" style="289" customWidth="1"/>
    <col min="5122" max="5123" width="13.85546875" style="289" customWidth="1"/>
    <col min="5124" max="5124" width="3.140625" style="289" customWidth="1"/>
    <col min="5125" max="5125" width="16" style="289" customWidth="1"/>
    <col min="5126" max="5126" width="24" style="289" customWidth="1"/>
    <col min="5127" max="5127" width="19.85546875" style="289" customWidth="1"/>
    <col min="5128" max="5376" width="9.140625" style="289"/>
    <col min="5377" max="5377" width="20.42578125" style="289" customWidth="1"/>
    <col min="5378" max="5379" width="13.85546875" style="289" customWidth="1"/>
    <col min="5380" max="5380" width="3.140625" style="289" customWidth="1"/>
    <col min="5381" max="5381" width="16" style="289" customWidth="1"/>
    <col min="5382" max="5382" width="24" style="289" customWidth="1"/>
    <col min="5383" max="5383" width="19.85546875" style="289" customWidth="1"/>
    <col min="5384" max="5632" width="9.140625" style="289"/>
    <col min="5633" max="5633" width="20.42578125" style="289" customWidth="1"/>
    <col min="5634" max="5635" width="13.85546875" style="289" customWidth="1"/>
    <col min="5636" max="5636" width="3.140625" style="289" customWidth="1"/>
    <col min="5637" max="5637" width="16" style="289" customWidth="1"/>
    <col min="5638" max="5638" width="24" style="289" customWidth="1"/>
    <col min="5639" max="5639" width="19.85546875" style="289" customWidth="1"/>
    <col min="5640" max="5888" width="9.140625" style="289"/>
    <col min="5889" max="5889" width="20.42578125" style="289" customWidth="1"/>
    <col min="5890" max="5891" width="13.85546875" style="289" customWidth="1"/>
    <col min="5892" max="5892" width="3.140625" style="289" customWidth="1"/>
    <col min="5893" max="5893" width="16" style="289" customWidth="1"/>
    <col min="5894" max="5894" width="24" style="289" customWidth="1"/>
    <col min="5895" max="5895" width="19.85546875" style="289" customWidth="1"/>
    <col min="5896" max="6144" width="9.140625" style="289"/>
    <col min="6145" max="6145" width="20.42578125" style="289" customWidth="1"/>
    <col min="6146" max="6147" width="13.85546875" style="289" customWidth="1"/>
    <col min="6148" max="6148" width="3.140625" style="289" customWidth="1"/>
    <col min="6149" max="6149" width="16" style="289" customWidth="1"/>
    <col min="6150" max="6150" width="24" style="289" customWidth="1"/>
    <col min="6151" max="6151" width="19.85546875" style="289" customWidth="1"/>
    <col min="6152" max="6400" width="9.140625" style="289"/>
    <col min="6401" max="6401" width="20.42578125" style="289" customWidth="1"/>
    <col min="6402" max="6403" width="13.85546875" style="289" customWidth="1"/>
    <col min="6404" max="6404" width="3.140625" style="289" customWidth="1"/>
    <col min="6405" max="6405" width="16" style="289" customWidth="1"/>
    <col min="6406" max="6406" width="24" style="289" customWidth="1"/>
    <col min="6407" max="6407" width="19.85546875" style="289" customWidth="1"/>
    <col min="6408" max="6656" width="9.140625" style="289"/>
    <col min="6657" max="6657" width="20.42578125" style="289" customWidth="1"/>
    <col min="6658" max="6659" width="13.85546875" style="289" customWidth="1"/>
    <col min="6660" max="6660" width="3.140625" style="289" customWidth="1"/>
    <col min="6661" max="6661" width="16" style="289" customWidth="1"/>
    <col min="6662" max="6662" width="24" style="289" customWidth="1"/>
    <col min="6663" max="6663" width="19.85546875" style="289" customWidth="1"/>
    <col min="6664" max="6912" width="9.140625" style="289"/>
    <col min="6913" max="6913" width="20.42578125" style="289" customWidth="1"/>
    <col min="6914" max="6915" width="13.85546875" style="289" customWidth="1"/>
    <col min="6916" max="6916" width="3.140625" style="289" customWidth="1"/>
    <col min="6917" max="6917" width="16" style="289" customWidth="1"/>
    <col min="6918" max="6918" width="24" style="289" customWidth="1"/>
    <col min="6919" max="6919" width="19.85546875" style="289" customWidth="1"/>
    <col min="6920" max="7168" width="9.140625" style="289"/>
    <col min="7169" max="7169" width="20.42578125" style="289" customWidth="1"/>
    <col min="7170" max="7171" width="13.85546875" style="289" customWidth="1"/>
    <col min="7172" max="7172" width="3.140625" style="289" customWidth="1"/>
    <col min="7173" max="7173" width="16" style="289" customWidth="1"/>
    <col min="7174" max="7174" width="24" style="289" customWidth="1"/>
    <col min="7175" max="7175" width="19.85546875" style="289" customWidth="1"/>
    <col min="7176" max="7424" width="9.140625" style="289"/>
    <col min="7425" max="7425" width="20.42578125" style="289" customWidth="1"/>
    <col min="7426" max="7427" width="13.85546875" style="289" customWidth="1"/>
    <col min="7428" max="7428" width="3.140625" style="289" customWidth="1"/>
    <col min="7429" max="7429" width="16" style="289" customWidth="1"/>
    <col min="7430" max="7430" width="24" style="289" customWidth="1"/>
    <col min="7431" max="7431" width="19.85546875" style="289" customWidth="1"/>
    <col min="7432" max="7680" width="9.140625" style="289"/>
    <col min="7681" max="7681" width="20.42578125" style="289" customWidth="1"/>
    <col min="7682" max="7683" width="13.85546875" style="289" customWidth="1"/>
    <col min="7684" max="7684" width="3.140625" style="289" customWidth="1"/>
    <col min="7685" max="7685" width="16" style="289" customWidth="1"/>
    <col min="7686" max="7686" width="24" style="289" customWidth="1"/>
    <col min="7687" max="7687" width="19.85546875" style="289" customWidth="1"/>
    <col min="7688" max="7936" width="9.140625" style="289"/>
    <col min="7937" max="7937" width="20.42578125" style="289" customWidth="1"/>
    <col min="7938" max="7939" width="13.85546875" style="289" customWidth="1"/>
    <col min="7940" max="7940" width="3.140625" style="289" customWidth="1"/>
    <col min="7941" max="7941" width="16" style="289" customWidth="1"/>
    <col min="7942" max="7942" width="24" style="289" customWidth="1"/>
    <col min="7943" max="7943" width="19.85546875" style="289" customWidth="1"/>
    <col min="7944" max="8192" width="9.140625" style="289"/>
    <col min="8193" max="8193" width="20.42578125" style="289" customWidth="1"/>
    <col min="8194" max="8195" width="13.85546875" style="289" customWidth="1"/>
    <col min="8196" max="8196" width="3.140625" style="289" customWidth="1"/>
    <col min="8197" max="8197" width="16" style="289" customWidth="1"/>
    <col min="8198" max="8198" width="24" style="289" customWidth="1"/>
    <col min="8199" max="8199" width="19.85546875" style="289" customWidth="1"/>
    <col min="8200" max="8448" width="9.140625" style="289"/>
    <col min="8449" max="8449" width="20.42578125" style="289" customWidth="1"/>
    <col min="8450" max="8451" width="13.85546875" style="289" customWidth="1"/>
    <col min="8452" max="8452" width="3.140625" style="289" customWidth="1"/>
    <col min="8453" max="8453" width="16" style="289" customWidth="1"/>
    <col min="8454" max="8454" width="24" style="289" customWidth="1"/>
    <col min="8455" max="8455" width="19.85546875" style="289" customWidth="1"/>
    <col min="8456" max="8704" width="9.140625" style="289"/>
    <col min="8705" max="8705" width="20.42578125" style="289" customWidth="1"/>
    <col min="8706" max="8707" width="13.85546875" style="289" customWidth="1"/>
    <col min="8708" max="8708" width="3.140625" style="289" customWidth="1"/>
    <col min="8709" max="8709" width="16" style="289" customWidth="1"/>
    <col min="8710" max="8710" width="24" style="289" customWidth="1"/>
    <col min="8711" max="8711" width="19.85546875" style="289" customWidth="1"/>
    <col min="8712" max="8960" width="9.140625" style="289"/>
    <col min="8961" max="8961" width="20.42578125" style="289" customWidth="1"/>
    <col min="8962" max="8963" width="13.85546875" style="289" customWidth="1"/>
    <col min="8964" max="8964" width="3.140625" style="289" customWidth="1"/>
    <col min="8965" max="8965" width="16" style="289" customWidth="1"/>
    <col min="8966" max="8966" width="24" style="289" customWidth="1"/>
    <col min="8967" max="8967" width="19.85546875" style="289" customWidth="1"/>
    <col min="8968" max="9216" width="9.140625" style="289"/>
    <col min="9217" max="9217" width="20.42578125" style="289" customWidth="1"/>
    <col min="9218" max="9219" width="13.85546875" style="289" customWidth="1"/>
    <col min="9220" max="9220" width="3.140625" style="289" customWidth="1"/>
    <col min="9221" max="9221" width="16" style="289" customWidth="1"/>
    <col min="9222" max="9222" width="24" style="289" customWidth="1"/>
    <col min="9223" max="9223" width="19.85546875" style="289" customWidth="1"/>
    <col min="9224" max="9472" width="9.140625" style="289"/>
    <col min="9473" max="9473" width="20.42578125" style="289" customWidth="1"/>
    <col min="9474" max="9475" width="13.85546875" style="289" customWidth="1"/>
    <col min="9476" max="9476" width="3.140625" style="289" customWidth="1"/>
    <col min="9477" max="9477" width="16" style="289" customWidth="1"/>
    <col min="9478" max="9478" width="24" style="289" customWidth="1"/>
    <col min="9479" max="9479" width="19.85546875" style="289" customWidth="1"/>
    <col min="9480" max="9728" width="9.140625" style="289"/>
    <col min="9729" max="9729" width="20.42578125" style="289" customWidth="1"/>
    <col min="9730" max="9731" width="13.85546875" style="289" customWidth="1"/>
    <col min="9732" max="9732" width="3.140625" style="289" customWidth="1"/>
    <col min="9733" max="9733" width="16" style="289" customWidth="1"/>
    <col min="9734" max="9734" width="24" style="289" customWidth="1"/>
    <col min="9735" max="9735" width="19.85546875" style="289" customWidth="1"/>
    <col min="9736" max="9984" width="9.140625" style="289"/>
    <col min="9985" max="9985" width="20.42578125" style="289" customWidth="1"/>
    <col min="9986" max="9987" width="13.85546875" style="289" customWidth="1"/>
    <col min="9988" max="9988" width="3.140625" style="289" customWidth="1"/>
    <col min="9989" max="9989" width="16" style="289" customWidth="1"/>
    <col min="9990" max="9990" width="24" style="289" customWidth="1"/>
    <col min="9991" max="9991" width="19.85546875" style="289" customWidth="1"/>
    <col min="9992" max="10240" width="9.140625" style="289"/>
    <col min="10241" max="10241" width="20.42578125" style="289" customWidth="1"/>
    <col min="10242" max="10243" width="13.85546875" style="289" customWidth="1"/>
    <col min="10244" max="10244" width="3.140625" style="289" customWidth="1"/>
    <col min="10245" max="10245" width="16" style="289" customWidth="1"/>
    <col min="10246" max="10246" width="24" style="289" customWidth="1"/>
    <col min="10247" max="10247" width="19.85546875" style="289" customWidth="1"/>
    <col min="10248" max="10496" width="9.140625" style="289"/>
    <col min="10497" max="10497" width="20.42578125" style="289" customWidth="1"/>
    <col min="10498" max="10499" width="13.85546875" style="289" customWidth="1"/>
    <col min="10500" max="10500" width="3.140625" style="289" customWidth="1"/>
    <col min="10501" max="10501" width="16" style="289" customWidth="1"/>
    <col min="10502" max="10502" width="24" style="289" customWidth="1"/>
    <col min="10503" max="10503" width="19.85546875" style="289" customWidth="1"/>
    <col min="10504" max="10752" width="9.140625" style="289"/>
    <col min="10753" max="10753" width="20.42578125" style="289" customWidth="1"/>
    <col min="10754" max="10755" width="13.85546875" style="289" customWidth="1"/>
    <col min="10756" max="10756" width="3.140625" style="289" customWidth="1"/>
    <col min="10757" max="10757" width="16" style="289" customWidth="1"/>
    <col min="10758" max="10758" width="24" style="289" customWidth="1"/>
    <col min="10759" max="10759" width="19.85546875" style="289" customWidth="1"/>
    <col min="10760" max="11008" width="9.140625" style="289"/>
    <col min="11009" max="11009" width="20.42578125" style="289" customWidth="1"/>
    <col min="11010" max="11011" width="13.85546875" style="289" customWidth="1"/>
    <col min="11012" max="11012" width="3.140625" style="289" customWidth="1"/>
    <col min="11013" max="11013" width="16" style="289" customWidth="1"/>
    <col min="11014" max="11014" width="24" style="289" customWidth="1"/>
    <col min="11015" max="11015" width="19.85546875" style="289" customWidth="1"/>
    <col min="11016" max="11264" width="9.140625" style="289"/>
    <col min="11265" max="11265" width="20.42578125" style="289" customWidth="1"/>
    <col min="11266" max="11267" width="13.85546875" style="289" customWidth="1"/>
    <col min="11268" max="11268" width="3.140625" style="289" customWidth="1"/>
    <col min="11269" max="11269" width="16" style="289" customWidth="1"/>
    <col min="11270" max="11270" width="24" style="289" customWidth="1"/>
    <col min="11271" max="11271" width="19.85546875" style="289" customWidth="1"/>
    <col min="11272" max="11520" width="9.140625" style="289"/>
    <col min="11521" max="11521" width="20.42578125" style="289" customWidth="1"/>
    <col min="11522" max="11523" width="13.85546875" style="289" customWidth="1"/>
    <col min="11524" max="11524" width="3.140625" style="289" customWidth="1"/>
    <col min="11525" max="11525" width="16" style="289" customWidth="1"/>
    <col min="11526" max="11526" width="24" style="289" customWidth="1"/>
    <col min="11527" max="11527" width="19.85546875" style="289" customWidth="1"/>
    <col min="11528" max="11776" width="9.140625" style="289"/>
    <col min="11777" max="11777" width="20.42578125" style="289" customWidth="1"/>
    <col min="11778" max="11779" width="13.85546875" style="289" customWidth="1"/>
    <col min="11780" max="11780" width="3.140625" style="289" customWidth="1"/>
    <col min="11781" max="11781" width="16" style="289" customWidth="1"/>
    <col min="11782" max="11782" width="24" style="289" customWidth="1"/>
    <col min="11783" max="11783" width="19.85546875" style="289" customWidth="1"/>
    <col min="11784" max="12032" width="9.140625" style="289"/>
    <col min="12033" max="12033" width="20.42578125" style="289" customWidth="1"/>
    <col min="12034" max="12035" width="13.85546875" style="289" customWidth="1"/>
    <col min="12036" max="12036" width="3.140625" style="289" customWidth="1"/>
    <col min="12037" max="12037" width="16" style="289" customWidth="1"/>
    <col min="12038" max="12038" width="24" style="289" customWidth="1"/>
    <col min="12039" max="12039" width="19.85546875" style="289" customWidth="1"/>
    <col min="12040" max="12288" width="9.140625" style="289"/>
    <col min="12289" max="12289" width="20.42578125" style="289" customWidth="1"/>
    <col min="12290" max="12291" width="13.85546875" style="289" customWidth="1"/>
    <col min="12292" max="12292" width="3.140625" style="289" customWidth="1"/>
    <col min="12293" max="12293" width="16" style="289" customWidth="1"/>
    <col min="12294" max="12294" width="24" style="289" customWidth="1"/>
    <col min="12295" max="12295" width="19.85546875" style="289" customWidth="1"/>
    <col min="12296" max="12544" width="9.140625" style="289"/>
    <col min="12545" max="12545" width="20.42578125" style="289" customWidth="1"/>
    <col min="12546" max="12547" width="13.85546875" style="289" customWidth="1"/>
    <col min="12548" max="12548" width="3.140625" style="289" customWidth="1"/>
    <col min="12549" max="12549" width="16" style="289" customWidth="1"/>
    <col min="12550" max="12550" width="24" style="289" customWidth="1"/>
    <col min="12551" max="12551" width="19.85546875" style="289" customWidth="1"/>
    <col min="12552" max="12800" width="9.140625" style="289"/>
    <col min="12801" max="12801" width="20.42578125" style="289" customWidth="1"/>
    <col min="12802" max="12803" width="13.85546875" style="289" customWidth="1"/>
    <col min="12804" max="12804" width="3.140625" style="289" customWidth="1"/>
    <col min="12805" max="12805" width="16" style="289" customWidth="1"/>
    <col min="12806" max="12806" width="24" style="289" customWidth="1"/>
    <col min="12807" max="12807" width="19.85546875" style="289" customWidth="1"/>
    <col min="12808" max="13056" width="9.140625" style="289"/>
    <col min="13057" max="13057" width="20.42578125" style="289" customWidth="1"/>
    <col min="13058" max="13059" width="13.85546875" style="289" customWidth="1"/>
    <col min="13060" max="13060" width="3.140625" style="289" customWidth="1"/>
    <col min="13061" max="13061" width="16" style="289" customWidth="1"/>
    <col min="13062" max="13062" width="24" style="289" customWidth="1"/>
    <col min="13063" max="13063" width="19.85546875" style="289" customWidth="1"/>
    <col min="13064" max="13312" width="9.140625" style="289"/>
    <col min="13313" max="13313" width="20.42578125" style="289" customWidth="1"/>
    <col min="13314" max="13315" width="13.85546875" style="289" customWidth="1"/>
    <col min="13316" max="13316" width="3.140625" style="289" customWidth="1"/>
    <col min="13317" max="13317" width="16" style="289" customWidth="1"/>
    <col min="13318" max="13318" width="24" style="289" customWidth="1"/>
    <col min="13319" max="13319" width="19.85546875" style="289" customWidth="1"/>
    <col min="13320" max="13568" width="9.140625" style="289"/>
    <col min="13569" max="13569" width="20.42578125" style="289" customWidth="1"/>
    <col min="13570" max="13571" width="13.85546875" style="289" customWidth="1"/>
    <col min="13572" max="13572" width="3.140625" style="289" customWidth="1"/>
    <col min="13573" max="13573" width="16" style="289" customWidth="1"/>
    <col min="13574" max="13574" width="24" style="289" customWidth="1"/>
    <col min="13575" max="13575" width="19.85546875" style="289" customWidth="1"/>
    <col min="13576" max="13824" width="9.140625" style="289"/>
    <col min="13825" max="13825" width="20.42578125" style="289" customWidth="1"/>
    <col min="13826" max="13827" width="13.85546875" style="289" customWidth="1"/>
    <col min="13828" max="13828" width="3.140625" style="289" customWidth="1"/>
    <col min="13829" max="13829" width="16" style="289" customWidth="1"/>
    <col min="13830" max="13830" width="24" style="289" customWidth="1"/>
    <col min="13831" max="13831" width="19.85546875" style="289" customWidth="1"/>
    <col min="13832" max="14080" width="9.140625" style="289"/>
    <col min="14081" max="14081" width="20.42578125" style="289" customWidth="1"/>
    <col min="14082" max="14083" width="13.85546875" style="289" customWidth="1"/>
    <col min="14084" max="14084" width="3.140625" style="289" customWidth="1"/>
    <col min="14085" max="14085" width="16" style="289" customWidth="1"/>
    <col min="14086" max="14086" width="24" style="289" customWidth="1"/>
    <col min="14087" max="14087" width="19.85546875" style="289" customWidth="1"/>
    <col min="14088" max="14336" width="9.140625" style="289"/>
    <col min="14337" max="14337" width="20.42578125" style="289" customWidth="1"/>
    <col min="14338" max="14339" width="13.85546875" style="289" customWidth="1"/>
    <col min="14340" max="14340" width="3.140625" style="289" customWidth="1"/>
    <col min="14341" max="14341" width="16" style="289" customWidth="1"/>
    <col min="14342" max="14342" width="24" style="289" customWidth="1"/>
    <col min="14343" max="14343" width="19.85546875" style="289" customWidth="1"/>
    <col min="14344" max="14592" width="9.140625" style="289"/>
    <col min="14593" max="14593" width="20.42578125" style="289" customWidth="1"/>
    <col min="14594" max="14595" width="13.85546875" style="289" customWidth="1"/>
    <col min="14596" max="14596" width="3.140625" style="289" customWidth="1"/>
    <col min="14597" max="14597" width="16" style="289" customWidth="1"/>
    <col min="14598" max="14598" width="24" style="289" customWidth="1"/>
    <col min="14599" max="14599" width="19.85546875" style="289" customWidth="1"/>
    <col min="14600" max="14848" width="9.140625" style="289"/>
    <col min="14849" max="14849" width="20.42578125" style="289" customWidth="1"/>
    <col min="14850" max="14851" width="13.85546875" style="289" customWidth="1"/>
    <col min="14852" max="14852" width="3.140625" style="289" customWidth="1"/>
    <col min="14853" max="14853" width="16" style="289" customWidth="1"/>
    <col min="14854" max="14854" width="24" style="289" customWidth="1"/>
    <col min="14855" max="14855" width="19.85546875" style="289" customWidth="1"/>
    <col min="14856" max="15104" width="9.140625" style="289"/>
    <col min="15105" max="15105" width="20.42578125" style="289" customWidth="1"/>
    <col min="15106" max="15107" width="13.85546875" style="289" customWidth="1"/>
    <col min="15108" max="15108" width="3.140625" style="289" customWidth="1"/>
    <col min="15109" max="15109" width="16" style="289" customWidth="1"/>
    <col min="15110" max="15110" width="24" style="289" customWidth="1"/>
    <col min="15111" max="15111" width="19.85546875" style="289" customWidth="1"/>
    <col min="15112" max="15360" width="9.140625" style="289"/>
    <col min="15361" max="15361" width="20.42578125" style="289" customWidth="1"/>
    <col min="15362" max="15363" width="13.85546875" style="289" customWidth="1"/>
    <col min="15364" max="15364" width="3.140625" style="289" customWidth="1"/>
    <col min="15365" max="15365" width="16" style="289" customWidth="1"/>
    <col min="15366" max="15366" width="24" style="289" customWidth="1"/>
    <col min="15367" max="15367" width="19.85546875" style="289" customWidth="1"/>
    <col min="15368" max="15616" width="9.140625" style="289"/>
    <col min="15617" max="15617" width="20.42578125" style="289" customWidth="1"/>
    <col min="15618" max="15619" width="13.85546875" style="289" customWidth="1"/>
    <col min="15620" max="15620" width="3.140625" style="289" customWidth="1"/>
    <col min="15621" max="15621" width="16" style="289" customWidth="1"/>
    <col min="15622" max="15622" width="24" style="289" customWidth="1"/>
    <col min="15623" max="15623" width="19.85546875" style="289" customWidth="1"/>
    <col min="15624" max="15872" width="9.140625" style="289"/>
    <col min="15873" max="15873" width="20.42578125" style="289" customWidth="1"/>
    <col min="15874" max="15875" width="13.85546875" style="289" customWidth="1"/>
    <col min="15876" max="15876" width="3.140625" style="289" customWidth="1"/>
    <col min="15877" max="15877" width="16" style="289" customWidth="1"/>
    <col min="15878" max="15878" width="24" style="289" customWidth="1"/>
    <col min="15879" max="15879" width="19.85546875" style="289" customWidth="1"/>
    <col min="15880" max="16128" width="9.140625" style="289"/>
    <col min="16129" max="16129" width="20.42578125" style="289" customWidth="1"/>
    <col min="16130" max="16131" width="13.85546875" style="289" customWidth="1"/>
    <col min="16132" max="16132" width="3.140625" style="289" customWidth="1"/>
    <col min="16133" max="16133" width="16" style="289" customWidth="1"/>
    <col min="16134" max="16134" width="24" style="289" customWidth="1"/>
    <col min="16135" max="16135" width="19.85546875" style="289" customWidth="1"/>
    <col min="16136" max="16384" width="9.140625" style="289"/>
  </cols>
  <sheetData>
    <row r="1" spans="1:15" s="284" customFormat="1" ht="15" customHeight="1" thickTop="1">
      <c r="A1" s="1116" t="s">
        <v>265</v>
      </c>
      <c r="B1" s="1116"/>
      <c r="C1" s="1116"/>
      <c r="D1" s="1116"/>
      <c r="E1" s="1116"/>
      <c r="F1" s="1116"/>
      <c r="G1" s="1116"/>
      <c r="H1" s="282"/>
      <c r="I1" s="283"/>
      <c r="J1" s="283"/>
      <c r="K1" s="283"/>
      <c r="L1" s="283"/>
      <c r="M1" s="1095"/>
      <c r="N1" s="1095"/>
      <c r="O1" s="1095"/>
    </row>
    <row r="2" spans="1:15" s="284" customFormat="1" ht="9" customHeight="1">
      <c r="A2" s="1117"/>
      <c r="B2" s="1117"/>
      <c r="C2" s="1117"/>
      <c r="D2" s="1117"/>
      <c r="E2" s="1117"/>
      <c r="F2" s="1117"/>
      <c r="G2" s="1117"/>
      <c r="H2" s="282"/>
      <c r="I2" s="282"/>
      <c r="J2" s="282"/>
      <c r="K2" s="282"/>
      <c r="L2" s="282"/>
      <c r="M2" s="1095"/>
      <c r="N2" s="1095"/>
      <c r="O2" s="1095"/>
    </row>
    <row r="3" spans="1:15" s="284" customFormat="1" ht="12" customHeight="1">
      <c r="A3" s="1117"/>
      <c r="B3" s="1117"/>
      <c r="C3" s="1117"/>
      <c r="D3" s="1117"/>
      <c r="E3" s="1117"/>
      <c r="F3" s="1117"/>
      <c r="G3" s="1117"/>
      <c r="I3" s="285"/>
      <c r="J3" s="282"/>
      <c r="K3" s="282"/>
      <c r="L3" s="282"/>
    </row>
    <row r="4" spans="1:15" s="284" customFormat="1" ht="11.25" customHeight="1">
      <c r="A4" s="1118"/>
      <c r="B4" s="1118"/>
      <c r="C4" s="1118"/>
      <c r="D4" s="1118"/>
      <c r="E4" s="1118"/>
      <c r="F4" s="1118"/>
      <c r="G4" s="1118"/>
      <c r="I4" s="285"/>
      <c r="J4" s="282"/>
      <c r="K4" s="282"/>
      <c r="L4" s="282"/>
    </row>
    <row r="5" spans="1:15" s="284" customFormat="1" ht="11.25" customHeight="1">
      <c r="A5" s="328"/>
      <c r="B5" s="329"/>
      <c r="C5" s="1107"/>
      <c r="D5" s="1108"/>
      <c r="E5" s="1109"/>
      <c r="F5" s="330"/>
      <c r="G5" s="331"/>
      <c r="H5" s="286"/>
      <c r="I5" s="285"/>
      <c r="J5" s="282"/>
      <c r="K5" s="282"/>
      <c r="L5" s="282"/>
    </row>
    <row r="6" spans="1:15" s="287" customFormat="1" ht="14.25" customHeight="1">
      <c r="A6" s="332" t="s">
        <v>266</v>
      </c>
      <c r="B6" s="335" t="s">
        <v>351</v>
      </c>
      <c r="C6" s="1110"/>
      <c r="D6" s="1111"/>
      <c r="E6" s="1112"/>
      <c r="F6" s="332" t="s">
        <v>267</v>
      </c>
      <c r="G6" s="335" t="str">
        <f>'[6]Pump Sizing'!F5</f>
        <v>NBU</v>
      </c>
    </row>
    <row r="7" spans="1:15" s="287" customFormat="1" ht="14.25" customHeight="1">
      <c r="A7" s="333"/>
      <c r="B7" s="333"/>
      <c r="C7" s="1113"/>
      <c r="D7" s="1114"/>
      <c r="E7" s="1115"/>
      <c r="F7" s="334"/>
      <c r="G7" s="334"/>
      <c r="H7" s="288"/>
      <c r="I7" s="288"/>
    </row>
    <row r="8" spans="1:15" ht="17.25">
      <c r="A8" s="1098" t="s">
        <v>268</v>
      </c>
      <c r="B8" s="1098"/>
      <c r="C8" s="1098"/>
      <c r="D8" s="1098"/>
      <c r="E8" s="1098"/>
      <c r="F8" s="1098"/>
      <c r="G8" s="1098"/>
    </row>
    <row r="9" spans="1:15" ht="13.5" customHeight="1">
      <c r="A9" s="1099" t="s">
        <v>269</v>
      </c>
      <c r="B9" s="1101" t="s">
        <v>270</v>
      </c>
      <c r="C9" s="1103" t="s">
        <v>271</v>
      </c>
      <c r="D9" s="1099"/>
      <c r="E9" s="1101" t="s">
        <v>272</v>
      </c>
      <c r="F9" s="1101" t="s">
        <v>273</v>
      </c>
      <c r="G9" s="1103" t="s">
        <v>274</v>
      </c>
    </row>
    <row r="10" spans="1:15" s="290" customFormat="1" ht="13.5" customHeight="1">
      <c r="A10" s="1100"/>
      <c r="B10" s="1102"/>
      <c r="C10" s="1104"/>
      <c r="D10" s="1100"/>
      <c r="E10" s="1102"/>
      <c r="F10" s="1102"/>
      <c r="G10" s="1104"/>
    </row>
    <row r="11" spans="1:15" ht="16.5" customHeight="1">
      <c r="A11" s="291">
        <f>'[6]Pump Sizing'!B9</f>
        <v>250</v>
      </c>
      <c r="B11" s="292">
        <f>'[6]Pump Sizing'!C13</f>
        <v>98.8</v>
      </c>
      <c r="C11" s="1105">
        <f>'[6]Pump Sizing'!B17</f>
        <v>6000</v>
      </c>
      <c r="D11" s="1106"/>
      <c r="E11" s="293">
        <f>'[6]Pump Sizing'!D9</f>
        <v>2500</v>
      </c>
      <c r="F11" s="292">
        <f>'[6]Pump Sizing'!C9</f>
        <v>196</v>
      </c>
      <c r="G11" s="294">
        <v>0.85</v>
      </c>
    </row>
    <row r="12" spans="1:15" ht="13.5" customHeight="1">
      <c r="A12" s="1099" t="s">
        <v>275</v>
      </c>
      <c r="B12" s="1101" t="s">
        <v>276</v>
      </c>
      <c r="C12" s="1103" t="s">
        <v>277</v>
      </c>
      <c r="D12" s="1099"/>
      <c r="E12" s="1099" t="s">
        <v>278</v>
      </c>
      <c r="F12" s="1096" t="s">
        <v>279</v>
      </c>
      <c r="G12" s="1103" t="s">
        <v>280</v>
      </c>
    </row>
    <row r="13" spans="1:15">
      <c r="A13" s="1100"/>
      <c r="B13" s="1102"/>
      <c r="C13" s="1104"/>
      <c r="D13" s="1100"/>
      <c r="E13" s="1100" t="s">
        <v>281</v>
      </c>
      <c r="F13" s="1097"/>
      <c r="G13" s="1121"/>
    </row>
    <row r="14" spans="1:15" ht="16.5" customHeight="1">
      <c r="A14" s="295">
        <v>1.0121</v>
      </c>
      <c r="B14" s="296">
        <v>32</v>
      </c>
      <c r="C14" s="1122">
        <f>141.5/(131.5+B14)</f>
        <v>0.86544342507645255</v>
      </c>
      <c r="D14" s="1123"/>
      <c r="E14" s="297">
        <v>0.61370000000000002</v>
      </c>
      <c r="F14" s="296">
        <v>1050</v>
      </c>
      <c r="G14" s="294">
        <f>C11*(100-B11)/100*E11/1000</f>
        <v>180.00000000000043</v>
      </c>
    </row>
    <row r="15" spans="1:15" s="298" customFormat="1">
      <c r="A15" s="1120" t="s">
        <v>282</v>
      </c>
      <c r="B15" s="1120"/>
      <c r="C15" s="1120"/>
      <c r="D15" s="1120"/>
      <c r="E15" s="1120"/>
      <c r="F15" s="1120"/>
      <c r="G15" s="1120"/>
    </row>
    <row r="16" spans="1:15" s="298" customFormat="1">
      <c r="A16" s="299" t="s">
        <v>283</v>
      </c>
      <c r="B16" s="300"/>
      <c r="C16" s="300"/>
      <c r="D16" s="300"/>
      <c r="E16" s="300"/>
      <c r="F16" s="300"/>
      <c r="G16" s="300"/>
    </row>
    <row r="17" spans="1:7" s="298" customFormat="1">
      <c r="A17" s="299" t="s">
        <v>284</v>
      </c>
      <c r="B17" s="300" t="s">
        <v>285</v>
      </c>
      <c r="C17" s="300"/>
      <c r="D17" s="299" t="s">
        <v>286</v>
      </c>
      <c r="E17" s="300" t="s">
        <v>287</v>
      </c>
      <c r="F17" s="299" t="s">
        <v>288</v>
      </c>
      <c r="G17" s="301" t="s">
        <v>289</v>
      </c>
    </row>
    <row r="18" spans="1:7" s="298" customFormat="1">
      <c r="A18" s="299" t="s">
        <v>244</v>
      </c>
      <c r="B18" s="302">
        <f>POWER(10,0.0125*B14)</f>
        <v>2.5118864315095806</v>
      </c>
      <c r="C18" s="303"/>
      <c r="D18" s="299" t="s">
        <v>244</v>
      </c>
      <c r="E18" s="303">
        <f>POWER(10,0.00091*F11)</f>
        <v>1.50785645669401</v>
      </c>
      <c r="F18" s="299" t="s">
        <v>244</v>
      </c>
      <c r="G18" s="302">
        <f>A11/18</f>
        <v>13.888888888888889</v>
      </c>
    </row>
    <row r="19" spans="1:7" s="298" customFormat="1">
      <c r="A19" s="299"/>
      <c r="B19" s="302"/>
      <c r="C19" s="303"/>
      <c r="D19" s="301"/>
      <c r="E19" s="301"/>
      <c r="F19" s="300"/>
      <c r="G19" s="300"/>
    </row>
    <row r="20" spans="1:7" s="298" customFormat="1">
      <c r="A20" s="299" t="s">
        <v>290</v>
      </c>
      <c r="B20" s="300" t="s">
        <v>291</v>
      </c>
      <c r="C20" s="300"/>
      <c r="D20" s="299" t="s">
        <v>244</v>
      </c>
      <c r="E20" s="303">
        <f>E14*POWER(B18*G18/E18,1.2048)</f>
        <v>27.019281970049491</v>
      </c>
      <c r="F20" s="300"/>
      <c r="G20" s="300"/>
    </row>
    <row r="21" spans="1:7" s="298" customFormat="1">
      <c r="A21" s="1120" t="s">
        <v>292</v>
      </c>
      <c r="B21" s="1120"/>
      <c r="C21" s="1120"/>
      <c r="D21" s="1120"/>
      <c r="E21" s="1120"/>
      <c r="F21" s="1120"/>
      <c r="G21" s="1120"/>
    </row>
    <row r="22" spans="1:7">
      <c r="A22" s="300" t="s">
        <v>283</v>
      </c>
      <c r="B22" s="300"/>
      <c r="C22" s="300"/>
      <c r="D22" s="300"/>
      <c r="E22" s="300"/>
      <c r="F22" s="300"/>
      <c r="G22" s="300"/>
    </row>
    <row r="23" spans="1:7">
      <c r="A23" s="299" t="s">
        <v>293</v>
      </c>
      <c r="B23" s="300" t="s">
        <v>294</v>
      </c>
      <c r="C23" s="300"/>
      <c r="D23" s="299" t="s">
        <v>295</v>
      </c>
      <c r="E23" s="300" t="s">
        <v>296</v>
      </c>
      <c r="F23" s="299" t="s">
        <v>297</v>
      </c>
      <c r="G23" s="300" t="s">
        <v>298</v>
      </c>
    </row>
    <row r="24" spans="1:7">
      <c r="A24" s="304" t="s">
        <v>244</v>
      </c>
      <c r="B24" s="305">
        <f>POWER(E14/C14,0.5)</f>
        <v>0.84209040750798325</v>
      </c>
      <c r="C24" s="303"/>
      <c r="D24" s="299" t="s">
        <v>244</v>
      </c>
      <c r="E24" s="303">
        <f>E20*B24+1.25*F11</f>
        <v>267.75267816473206</v>
      </c>
      <c r="F24" s="299" t="s">
        <v>244</v>
      </c>
      <c r="G24" s="303">
        <f>0.000147*POWER(E24,1.175)</f>
        <v>0.10468984995671561</v>
      </c>
    </row>
    <row r="25" spans="1:7">
      <c r="A25" s="306"/>
      <c r="B25" s="306"/>
      <c r="C25" s="303"/>
      <c r="D25" s="301"/>
      <c r="E25" s="301"/>
      <c r="F25" s="300"/>
      <c r="G25" s="307"/>
    </row>
    <row r="26" spans="1:7">
      <c r="A26" s="299" t="s">
        <v>299</v>
      </c>
      <c r="B26" s="301" t="s">
        <v>300</v>
      </c>
      <c r="C26" s="301"/>
      <c r="D26" s="299" t="s">
        <v>244</v>
      </c>
      <c r="E26" s="308">
        <f>0.972+G24</f>
        <v>1.0766898499567157</v>
      </c>
      <c r="F26" s="300"/>
      <c r="G26" s="307"/>
    </row>
    <row r="27" spans="1:7" s="298" customFormat="1">
      <c r="A27" s="1120" t="s">
        <v>301</v>
      </c>
      <c r="B27" s="1120"/>
      <c r="C27" s="1120"/>
      <c r="D27" s="1120"/>
      <c r="E27" s="1120"/>
      <c r="F27" s="1120"/>
      <c r="G27" s="1120"/>
    </row>
    <row r="28" spans="1:7">
      <c r="A28" s="299" t="s">
        <v>302</v>
      </c>
      <c r="B28" s="300" t="s">
        <v>303</v>
      </c>
      <c r="C28" s="300"/>
      <c r="D28" s="299" t="s">
        <v>244</v>
      </c>
      <c r="E28" s="303">
        <f>5.04*G11*(460+F11)/A11</f>
        <v>11.241216</v>
      </c>
      <c r="F28" s="300" t="s">
        <v>304</v>
      </c>
      <c r="G28" s="300"/>
    </row>
    <row r="29" spans="1:7" s="298" customFormat="1">
      <c r="A29" s="1120" t="s">
        <v>305</v>
      </c>
      <c r="B29" s="1120"/>
      <c r="C29" s="1120"/>
      <c r="D29" s="1120"/>
      <c r="E29" s="1120"/>
      <c r="F29" s="1120"/>
      <c r="G29" s="1120"/>
    </row>
    <row r="30" spans="1:7">
      <c r="A30" s="299" t="s">
        <v>306</v>
      </c>
      <c r="B30" s="301" t="s">
        <v>307</v>
      </c>
      <c r="C30" s="301"/>
      <c r="D30" s="301"/>
      <c r="E30" s="301"/>
      <c r="F30" s="300"/>
      <c r="G30" s="300"/>
    </row>
    <row r="31" spans="1:7">
      <c r="A31" s="299" t="s">
        <v>244</v>
      </c>
      <c r="B31" s="303">
        <f>C11*(1-B11%)*E20/1000</f>
        <v>1.9453883018435649</v>
      </c>
      <c r="C31" s="303"/>
      <c r="D31" s="301"/>
      <c r="E31" s="301"/>
      <c r="F31" s="300" t="s">
        <v>308</v>
      </c>
      <c r="G31" s="300"/>
    </row>
    <row r="32" spans="1:7" s="298" customFormat="1">
      <c r="A32" s="1120" t="s">
        <v>309</v>
      </c>
      <c r="B32" s="1120"/>
      <c r="C32" s="1120"/>
      <c r="D32" s="1120"/>
      <c r="E32" s="1120"/>
      <c r="F32" s="1120"/>
      <c r="G32" s="1120"/>
    </row>
    <row r="33" spans="1:7">
      <c r="A33" s="299" t="s">
        <v>310</v>
      </c>
      <c r="B33" s="300" t="s">
        <v>311</v>
      </c>
      <c r="C33" s="300"/>
      <c r="D33" s="300"/>
      <c r="E33" s="300"/>
      <c r="F33" s="300"/>
      <c r="G33" s="300"/>
    </row>
    <row r="34" spans="1:7">
      <c r="A34" s="299" t="s">
        <v>244</v>
      </c>
      <c r="B34" s="303">
        <f>G14-B31</f>
        <v>178.05461169815686</v>
      </c>
      <c r="C34" s="303"/>
      <c r="D34" s="301"/>
      <c r="E34" s="301"/>
      <c r="F34" s="300" t="s">
        <v>308</v>
      </c>
      <c r="G34" s="300"/>
    </row>
    <row r="35" spans="1:7" s="298" customFormat="1">
      <c r="A35" s="1120" t="s">
        <v>312</v>
      </c>
      <c r="B35" s="1120"/>
      <c r="C35" s="1120"/>
      <c r="D35" s="1120"/>
      <c r="E35" s="1120"/>
      <c r="F35" s="1120"/>
      <c r="G35" s="1120"/>
    </row>
    <row r="36" spans="1:7">
      <c r="A36" s="299" t="s">
        <v>313</v>
      </c>
      <c r="B36" s="300" t="s">
        <v>314</v>
      </c>
      <c r="C36" s="300"/>
      <c r="D36" s="300"/>
      <c r="E36" s="300"/>
      <c r="F36" s="300"/>
      <c r="G36" s="300"/>
    </row>
    <row r="37" spans="1:7">
      <c r="A37" s="299" t="s">
        <v>244</v>
      </c>
      <c r="B37" s="303">
        <f>C11*(1-B11/100)*E26</f>
        <v>77.521669196883593</v>
      </c>
      <c r="C37" s="303"/>
      <c r="D37" s="301"/>
      <c r="E37" s="301"/>
      <c r="F37" s="300" t="s">
        <v>21</v>
      </c>
      <c r="G37" s="300"/>
    </row>
    <row r="38" spans="1:7">
      <c r="A38" s="1120" t="s">
        <v>315</v>
      </c>
      <c r="B38" s="1120"/>
      <c r="C38" s="1120"/>
      <c r="D38" s="1120"/>
      <c r="E38" s="1120"/>
      <c r="F38" s="1120"/>
      <c r="G38" s="1120"/>
    </row>
    <row r="39" spans="1:7">
      <c r="A39" s="299" t="s">
        <v>316</v>
      </c>
      <c r="B39" s="300" t="s">
        <v>317</v>
      </c>
      <c r="C39" s="300"/>
      <c r="D39" s="300"/>
      <c r="E39" s="300"/>
      <c r="F39" s="300"/>
      <c r="G39" s="300"/>
    </row>
    <row r="40" spans="1:7">
      <c r="A40" s="299" t="s">
        <v>244</v>
      </c>
      <c r="B40" s="303">
        <f>B34*E28</f>
        <v>2001.550349895108</v>
      </c>
      <c r="C40" s="303"/>
      <c r="D40" s="301"/>
      <c r="E40" s="301"/>
      <c r="F40" s="300" t="s">
        <v>318</v>
      </c>
      <c r="G40" s="300"/>
    </row>
    <row r="41" spans="1:7">
      <c r="A41" s="1120" t="s">
        <v>319</v>
      </c>
      <c r="B41" s="1120"/>
      <c r="C41" s="1120"/>
      <c r="D41" s="1120"/>
      <c r="E41" s="1120"/>
      <c r="F41" s="1120"/>
      <c r="G41" s="1120"/>
    </row>
    <row r="42" spans="1:7">
      <c r="A42" s="299" t="s">
        <v>320</v>
      </c>
      <c r="B42" s="301" t="s">
        <v>321</v>
      </c>
      <c r="C42" s="301"/>
      <c r="D42" s="299"/>
      <c r="E42" s="303"/>
      <c r="F42" s="300"/>
      <c r="G42" s="300"/>
    </row>
    <row r="43" spans="1:7">
      <c r="A43" s="304" t="s">
        <v>244</v>
      </c>
      <c r="B43" s="305">
        <f>B37+B40+C11*B11/100</f>
        <v>8007.072019091991</v>
      </c>
      <c r="C43" s="303"/>
      <c r="D43" s="301"/>
      <c r="E43" s="301"/>
      <c r="F43" s="306" t="s">
        <v>26</v>
      </c>
      <c r="G43" s="300"/>
    </row>
    <row r="44" spans="1:7">
      <c r="A44" s="1120" t="s">
        <v>322</v>
      </c>
      <c r="B44" s="1120"/>
      <c r="C44" s="1120"/>
      <c r="D44" s="1120"/>
      <c r="E44" s="1120"/>
      <c r="F44" s="1120"/>
      <c r="G44" s="1120"/>
    </row>
    <row r="45" spans="1:7">
      <c r="A45" s="299" t="s">
        <v>323</v>
      </c>
      <c r="B45" s="301" t="s">
        <v>324</v>
      </c>
      <c r="C45" s="301"/>
      <c r="D45" s="309"/>
      <c r="E45" s="310"/>
      <c r="F45" s="300"/>
      <c r="G45" s="300"/>
    </row>
    <row r="46" spans="1:7">
      <c r="A46" s="311" t="s">
        <v>244</v>
      </c>
      <c r="B46" s="312">
        <f>B40/B43</f>
        <v>0.2499728171699504</v>
      </c>
      <c r="C46" s="301"/>
      <c r="D46" s="309"/>
      <c r="E46" s="310"/>
      <c r="F46" s="300"/>
      <c r="G46" s="300"/>
    </row>
    <row r="47" spans="1:7">
      <c r="A47" s="313" t="s">
        <v>325</v>
      </c>
      <c r="B47" s="314"/>
      <c r="C47" s="314"/>
      <c r="D47" s="314"/>
      <c r="E47" s="314"/>
      <c r="F47" s="314"/>
      <c r="G47" s="314"/>
    </row>
    <row r="48" spans="1:7">
      <c r="A48" s="304" t="s">
        <v>326</v>
      </c>
      <c r="B48" s="306" t="s">
        <v>327</v>
      </c>
      <c r="C48" s="306"/>
      <c r="D48" s="301"/>
      <c r="E48" s="301"/>
      <c r="F48" s="306"/>
      <c r="G48" s="300"/>
    </row>
    <row r="49" spans="1:7">
      <c r="A49" s="304" t="s">
        <v>244</v>
      </c>
      <c r="B49" s="315">
        <f>(C11*(100-B11)/100*C14+C11*B11/100*A14)*62.4*5.6146+E11*C11*(100-B11)/100*E14*0.0752</f>
        <v>2132149.3162885942</v>
      </c>
      <c r="C49" s="306"/>
      <c r="D49" s="316"/>
      <c r="E49" s="317"/>
      <c r="F49" s="306" t="s">
        <v>328</v>
      </c>
      <c r="G49" s="306"/>
    </row>
    <row r="50" spans="1:7" ht="18" customHeight="1">
      <c r="A50" s="304" t="s">
        <v>329</v>
      </c>
      <c r="B50" s="306" t="s">
        <v>330</v>
      </c>
      <c r="C50" s="306"/>
      <c r="D50" s="316"/>
      <c r="E50" s="318"/>
    </row>
    <row r="51" spans="1:7">
      <c r="A51" s="311" t="s">
        <v>244</v>
      </c>
      <c r="B51" s="319">
        <f>B49/(B43*62.4*5.6146)</f>
        <v>0.76004703593961098</v>
      </c>
      <c r="C51" s="301"/>
      <c r="D51" s="309"/>
      <c r="E51" s="310"/>
      <c r="F51" s="300"/>
      <c r="G51" s="300"/>
    </row>
    <row r="52" spans="1:7" ht="66" customHeight="1">
      <c r="A52" s="1119" t="s">
        <v>331</v>
      </c>
      <c r="B52" s="1119"/>
      <c r="C52" s="1119"/>
      <c r="D52" s="1119"/>
      <c r="E52" s="1119"/>
      <c r="F52" s="1119"/>
      <c r="G52" s="1119"/>
    </row>
    <row r="53" spans="1:7">
      <c r="A53" s="1119" t="s">
        <v>332</v>
      </c>
      <c r="B53" s="1119"/>
      <c r="C53" s="1119"/>
      <c r="D53" s="1119"/>
      <c r="E53" s="1119"/>
      <c r="F53" s="1119"/>
      <c r="G53" s="1119"/>
    </row>
    <row r="54" spans="1:7">
      <c r="A54" s="299" t="s">
        <v>333</v>
      </c>
      <c r="B54" s="320">
        <v>0.8</v>
      </c>
      <c r="C54" s="310"/>
      <c r="D54" s="309"/>
      <c r="E54" s="299"/>
      <c r="F54" s="310"/>
      <c r="G54" s="310"/>
    </row>
    <row r="55" spans="1:7">
      <c r="A55" s="299" t="s">
        <v>334</v>
      </c>
      <c r="B55" s="310" t="s">
        <v>335</v>
      </c>
      <c r="C55" s="310"/>
      <c r="D55" s="309"/>
      <c r="E55" s="299" t="s">
        <v>336</v>
      </c>
      <c r="F55" s="310" t="s">
        <v>337</v>
      </c>
      <c r="G55" s="310"/>
    </row>
    <row r="56" spans="1:7">
      <c r="A56" s="299" t="s">
        <v>244</v>
      </c>
      <c r="B56" s="321">
        <f>B40*(1-B54)</f>
        <v>400.31006997902148</v>
      </c>
      <c r="C56" s="310" t="s">
        <v>318</v>
      </c>
      <c r="D56" s="309"/>
      <c r="E56" s="299" t="s">
        <v>244</v>
      </c>
      <c r="F56" s="302">
        <f>B37+B56+C11*B11/100</f>
        <v>6405.8317391759047</v>
      </c>
      <c r="G56" s="289" t="s">
        <v>26</v>
      </c>
    </row>
    <row r="57" spans="1:7">
      <c r="A57" s="322" t="s">
        <v>338</v>
      </c>
      <c r="B57" s="323" t="s">
        <v>339</v>
      </c>
      <c r="C57" s="323"/>
      <c r="D57" s="309"/>
      <c r="E57" s="310"/>
      <c r="F57" s="300"/>
      <c r="G57" s="300"/>
    </row>
    <row r="58" spans="1:7">
      <c r="A58" s="311" t="s">
        <v>244</v>
      </c>
      <c r="B58" s="324">
        <f>B56/F56</f>
        <v>6.2491505596511412E-2</v>
      </c>
      <c r="C58" s="323"/>
      <c r="D58" s="309"/>
      <c r="E58" s="310"/>
      <c r="F58" s="325"/>
      <c r="G58" s="300"/>
    </row>
    <row r="59" spans="1:7">
      <c r="A59" s="313" t="s">
        <v>340</v>
      </c>
      <c r="B59" s="314"/>
      <c r="C59" s="314"/>
      <c r="D59" s="314"/>
      <c r="E59" s="314"/>
      <c r="F59" s="314"/>
      <c r="G59" s="314"/>
    </row>
    <row r="60" spans="1:7">
      <c r="A60" s="304" t="s">
        <v>326</v>
      </c>
      <c r="B60" s="306" t="s">
        <v>341</v>
      </c>
      <c r="C60" s="306"/>
      <c r="D60" s="301"/>
      <c r="E60" s="301"/>
      <c r="F60" s="306"/>
      <c r="G60" s="300"/>
    </row>
    <row r="61" spans="1:7">
      <c r="A61" s="304" t="s">
        <v>244</v>
      </c>
      <c r="B61" s="315">
        <f>(C11*(100-B11)/100*C14+C11*B11/100*A14)*62.4*5.6146+(B56/E28+B31)*1000*E14*0.0752</f>
        <v>2125575.5058382126</v>
      </c>
      <c r="C61" s="306"/>
      <c r="D61" s="316"/>
      <c r="E61" s="317"/>
      <c r="F61" s="306" t="s">
        <v>328</v>
      </c>
      <c r="G61" s="306"/>
    </row>
    <row r="62" spans="1:7" ht="18" customHeight="1">
      <c r="A62" s="304" t="s">
        <v>329</v>
      </c>
      <c r="B62" s="306" t="s">
        <v>342</v>
      </c>
      <c r="C62" s="306"/>
      <c r="D62" s="316"/>
      <c r="E62" s="318"/>
    </row>
    <row r="63" spans="1:7">
      <c r="A63" s="311" t="s">
        <v>244</v>
      </c>
      <c r="B63" s="319">
        <f>B61/(F56*62.4*5.6146)</f>
        <v>0.94710384308729267</v>
      </c>
      <c r="C63" s="301"/>
      <c r="D63" s="309"/>
      <c r="E63" s="310"/>
      <c r="F63" s="300"/>
      <c r="G63" s="300"/>
    </row>
    <row r="64" spans="1:7" ht="27" customHeight="1">
      <c r="A64" s="1119" t="s">
        <v>343</v>
      </c>
      <c r="B64" s="1119"/>
      <c r="C64" s="1119"/>
      <c r="D64" s="1119"/>
      <c r="E64" s="1119"/>
      <c r="F64" s="1119"/>
      <c r="G64" s="1119"/>
    </row>
    <row r="65" spans="1:7">
      <c r="A65" s="299" t="s">
        <v>333</v>
      </c>
      <c r="B65" s="326">
        <v>0.9</v>
      </c>
      <c r="C65" s="310"/>
      <c r="D65" s="309"/>
      <c r="E65" s="299"/>
      <c r="F65" s="310"/>
      <c r="G65" s="310"/>
    </row>
    <row r="66" spans="1:7" ht="17.25" customHeight="1">
      <c r="A66" s="299" t="s">
        <v>344</v>
      </c>
      <c r="B66" s="310" t="s">
        <v>335</v>
      </c>
      <c r="C66" s="310"/>
      <c r="D66" s="309"/>
      <c r="E66" s="299" t="s">
        <v>345</v>
      </c>
      <c r="F66" s="310" t="s">
        <v>321</v>
      </c>
      <c r="G66" s="310"/>
    </row>
    <row r="67" spans="1:7">
      <c r="A67" s="299" t="s">
        <v>244</v>
      </c>
      <c r="B67" s="321">
        <f>B56*(1-B65)</f>
        <v>40.031006997902139</v>
      </c>
      <c r="C67" s="310" t="s">
        <v>318</v>
      </c>
      <c r="D67" s="309"/>
      <c r="E67" s="299" t="s">
        <v>244</v>
      </c>
      <c r="F67" s="302">
        <f>B37+B67+C11*B11/100</f>
        <v>6045.5526761947858</v>
      </c>
      <c r="G67" s="289" t="s">
        <v>26</v>
      </c>
    </row>
    <row r="68" spans="1:7">
      <c r="A68" s="311" t="s">
        <v>346</v>
      </c>
      <c r="B68" s="323" t="s">
        <v>324</v>
      </c>
      <c r="C68" s="323"/>
      <c r="D68" s="309"/>
      <c r="E68" s="310"/>
      <c r="F68" s="300"/>
      <c r="G68" s="300"/>
    </row>
    <row r="69" spans="1:7">
      <c r="A69" s="311" t="s">
        <v>244</v>
      </c>
      <c r="B69" s="324">
        <f>B67/F67</f>
        <v>6.6215628482619729E-3</v>
      </c>
      <c r="C69" s="323"/>
      <c r="D69" s="309"/>
      <c r="E69" s="310"/>
      <c r="F69" s="300"/>
      <c r="G69" s="300"/>
    </row>
    <row r="70" spans="1:7">
      <c r="A70" s="313" t="s">
        <v>347</v>
      </c>
      <c r="B70" s="314"/>
      <c r="C70" s="314"/>
      <c r="D70" s="314"/>
      <c r="E70" s="314"/>
      <c r="F70" s="314"/>
      <c r="G70" s="314"/>
    </row>
    <row r="71" spans="1:7">
      <c r="A71" s="304" t="s">
        <v>326</v>
      </c>
      <c r="B71" s="306" t="s">
        <v>348</v>
      </c>
      <c r="C71" s="306"/>
      <c r="D71" s="301"/>
      <c r="E71" s="301"/>
      <c r="F71" s="306"/>
      <c r="G71" s="300"/>
    </row>
    <row r="72" spans="1:7">
      <c r="A72" s="304" t="s">
        <v>244</v>
      </c>
      <c r="B72" s="315">
        <f>(C11*(100-B11)/100*C14+C11*B11/100*A14)*62.4*5.6146+(B67/E28+B31)*1000*E14*0.0752</f>
        <v>2124096.3984868769</v>
      </c>
      <c r="C72" s="306"/>
      <c r="D72" s="316"/>
      <c r="E72" s="317"/>
      <c r="F72" s="306" t="s">
        <v>328</v>
      </c>
      <c r="G72" s="306"/>
    </row>
    <row r="73" spans="1:7" ht="18" customHeight="1">
      <c r="A73" s="304" t="s">
        <v>329</v>
      </c>
      <c r="B73" s="306" t="s">
        <v>349</v>
      </c>
      <c r="C73" s="306"/>
      <c r="D73" s="316"/>
      <c r="E73" s="318"/>
    </row>
    <row r="74" spans="1:7">
      <c r="A74" s="311" t="s">
        <v>244</v>
      </c>
      <c r="B74" s="319">
        <f>B72/(F67*62.4*5.6146)</f>
        <v>1.0028472823575989</v>
      </c>
      <c r="C74" s="301"/>
      <c r="D74" s="309"/>
      <c r="E74" s="310"/>
      <c r="F74" s="300"/>
      <c r="G74" s="300"/>
    </row>
    <row r="75" spans="1:7">
      <c r="C75" s="327"/>
    </row>
    <row r="104" spans="1:1">
      <c r="A104" s="289" t="s">
        <v>350</v>
      </c>
    </row>
  </sheetData>
  <mergeCells count="30">
    <mergeCell ref="A29:G29"/>
    <mergeCell ref="G12:G13"/>
    <mergeCell ref="C14:D14"/>
    <mergeCell ref="A15:G15"/>
    <mergeCell ref="A21:G21"/>
    <mergeCell ref="A27:G27"/>
    <mergeCell ref="A53:G53"/>
    <mergeCell ref="A64:G64"/>
    <mergeCell ref="A32:G32"/>
    <mergeCell ref="A35:G35"/>
    <mergeCell ref="A38:G38"/>
    <mergeCell ref="A41:G41"/>
    <mergeCell ref="A44:G44"/>
    <mergeCell ref="A52:G52"/>
    <mergeCell ref="M1:O2"/>
    <mergeCell ref="F12:F13"/>
    <mergeCell ref="A8:G8"/>
    <mergeCell ref="A9:A10"/>
    <mergeCell ref="B9:B10"/>
    <mergeCell ref="C9:D10"/>
    <mergeCell ref="E9:E10"/>
    <mergeCell ref="F9:F10"/>
    <mergeCell ref="G9:G10"/>
    <mergeCell ref="C11:D11"/>
    <mergeCell ref="A12:A13"/>
    <mergeCell ref="B12:B13"/>
    <mergeCell ref="C12:D13"/>
    <mergeCell ref="E12:E13"/>
    <mergeCell ref="C5:E7"/>
    <mergeCell ref="A1:G4"/>
  </mergeCells>
  <printOptions horizontalCentered="1"/>
  <pageMargins left="0.43307086614173201" right="0.59055118110236204" top="0.59055118110236204" bottom="0.59055118110236204" header="0.39370078740157499" footer="0.43307086614173201"/>
  <pageSetup scale="63" orientation="portrait" r:id="rId1"/>
  <headerFooter alignWithMargins="0">
    <oddHeader>&amp;L&amp;10Powerlift Form A-10&amp;R&amp;10Ref No.&amp;D</oddHeader>
    <oddFooter>&amp;L&amp;10CNOOC SES Ltd.ESP Runlife Service Package C&amp;R&amp;10Contract No.:332001574</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42"/>
  <sheetViews>
    <sheetView view="pageLayout" topLeftCell="A25" zoomScale="85" zoomScaleNormal="100" zoomScaleSheetLayoutView="115" zoomScalePageLayoutView="85" workbookViewId="0">
      <selection activeCell="E42" sqref="E42"/>
    </sheetView>
  </sheetViews>
  <sheetFormatPr defaultRowHeight="15"/>
  <cols>
    <col min="1" max="1" width="18.42578125" style="347" customWidth="1"/>
    <col min="2" max="2" width="16.5703125" style="347" customWidth="1"/>
    <col min="3" max="3" width="15.85546875" style="347" customWidth="1"/>
    <col min="4" max="4" width="16.140625" style="347" customWidth="1"/>
    <col min="5" max="5" width="23.140625" style="347" customWidth="1"/>
    <col min="6" max="6" width="34" style="347" customWidth="1"/>
    <col min="7" max="256" width="9.140625" style="347"/>
    <col min="257" max="257" width="18.42578125" style="347" customWidth="1"/>
    <col min="258" max="258" width="16.5703125" style="347" customWidth="1"/>
    <col min="259" max="259" width="15.85546875" style="347" customWidth="1"/>
    <col min="260" max="260" width="16.140625" style="347" customWidth="1"/>
    <col min="261" max="261" width="23.140625" style="347" customWidth="1"/>
    <col min="262" max="262" width="34" style="347" customWidth="1"/>
    <col min="263" max="512" width="9.140625" style="347"/>
    <col min="513" max="513" width="18.42578125" style="347" customWidth="1"/>
    <col min="514" max="514" width="16.5703125" style="347" customWidth="1"/>
    <col min="515" max="515" width="15.85546875" style="347" customWidth="1"/>
    <col min="516" max="516" width="16.140625" style="347" customWidth="1"/>
    <col min="517" max="517" width="23.140625" style="347" customWidth="1"/>
    <col min="518" max="518" width="34" style="347" customWidth="1"/>
    <col min="519" max="768" width="9.140625" style="347"/>
    <col min="769" max="769" width="18.42578125" style="347" customWidth="1"/>
    <col min="770" max="770" width="16.5703125" style="347" customWidth="1"/>
    <col min="771" max="771" width="15.85546875" style="347" customWidth="1"/>
    <col min="772" max="772" width="16.140625" style="347" customWidth="1"/>
    <col min="773" max="773" width="23.140625" style="347" customWidth="1"/>
    <col min="774" max="774" width="34" style="347" customWidth="1"/>
    <col min="775" max="1024" width="9.140625" style="347"/>
    <col min="1025" max="1025" width="18.42578125" style="347" customWidth="1"/>
    <col min="1026" max="1026" width="16.5703125" style="347" customWidth="1"/>
    <col min="1027" max="1027" width="15.85546875" style="347" customWidth="1"/>
    <col min="1028" max="1028" width="16.140625" style="347" customWidth="1"/>
    <col min="1029" max="1029" width="23.140625" style="347" customWidth="1"/>
    <col min="1030" max="1030" width="34" style="347" customWidth="1"/>
    <col min="1031" max="1280" width="9.140625" style="347"/>
    <col min="1281" max="1281" width="18.42578125" style="347" customWidth="1"/>
    <col min="1282" max="1282" width="16.5703125" style="347" customWidth="1"/>
    <col min="1283" max="1283" width="15.85546875" style="347" customWidth="1"/>
    <col min="1284" max="1284" width="16.140625" style="347" customWidth="1"/>
    <col min="1285" max="1285" width="23.140625" style="347" customWidth="1"/>
    <col min="1286" max="1286" width="34" style="347" customWidth="1"/>
    <col min="1287" max="1536" width="9.140625" style="347"/>
    <col min="1537" max="1537" width="18.42578125" style="347" customWidth="1"/>
    <col min="1538" max="1538" width="16.5703125" style="347" customWidth="1"/>
    <col min="1539" max="1539" width="15.85546875" style="347" customWidth="1"/>
    <col min="1540" max="1540" width="16.140625" style="347" customWidth="1"/>
    <col min="1541" max="1541" width="23.140625" style="347" customWidth="1"/>
    <col min="1542" max="1542" width="34" style="347" customWidth="1"/>
    <col min="1543" max="1792" width="9.140625" style="347"/>
    <col min="1793" max="1793" width="18.42578125" style="347" customWidth="1"/>
    <col min="1794" max="1794" width="16.5703125" style="347" customWidth="1"/>
    <col min="1795" max="1795" width="15.85546875" style="347" customWidth="1"/>
    <col min="1796" max="1796" width="16.140625" style="347" customWidth="1"/>
    <col min="1797" max="1797" width="23.140625" style="347" customWidth="1"/>
    <col min="1798" max="1798" width="34" style="347" customWidth="1"/>
    <col min="1799" max="2048" width="9.140625" style="347"/>
    <col min="2049" max="2049" width="18.42578125" style="347" customWidth="1"/>
    <col min="2050" max="2050" width="16.5703125" style="347" customWidth="1"/>
    <col min="2051" max="2051" width="15.85546875" style="347" customWidth="1"/>
    <col min="2052" max="2052" width="16.140625" style="347" customWidth="1"/>
    <col min="2053" max="2053" width="23.140625" style="347" customWidth="1"/>
    <col min="2054" max="2054" width="34" style="347" customWidth="1"/>
    <col min="2055" max="2304" width="9.140625" style="347"/>
    <col min="2305" max="2305" width="18.42578125" style="347" customWidth="1"/>
    <col min="2306" max="2306" width="16.5703125" style="347" customWidth="1"/>
    <col min="2307" max="2307" width="15.85546875" style="347" customWidth="1"/>
    <col min="2308" max="2308" width="16.140625" style="347" customWidth="1"/>
    <col min="2309" max="2309" width="23.140625" style="347" customWidth="1"/>
    <col min="2310" max="2310" width="34" style="347" customWidth="1"/>
    <col min="2311" max="2560" width="9.140625" style="347"/>
    <col min="2561" max="2561" width="18.42578125" style="347" customWidth="1"/>
    <col min="2562" max="2562" width="16.5703125" style="347" customWidth="1"/>
    <col min="2563" max="2563" width="15.85546875" style="347" customWidth="1"/>
    <col min="2564" max="2564" width="16.140625" style="347" customWidth="1"/>
    <col min="2565" max="2565" width="23.140625" style="347" customWidth="1"/>
    <col min="2566" max="2566" width="34" style="347" customWidth="1"/>
    <col min="2567" max="2816" width="9.140625" style="347"/>
    <col min="2817" max="2817" width="18.42578125" style="347" customWidth="1"/>
    <col min="2818" max="2818" width="16.5703125" style="347" customWidth="1"/>
    <col min="2819" max="2819" width="15.85546875" style="347" customWidth="1"/>
    <col min="2820" max="2820" width="16.140625" style="347" customWidth="1"/>
    <col min="2821" max="2821" width="23.140625" style="347" customWidth="1"/>
    <col min="2822" max="2822" width="34" style="347" customWidth="1"/>
    <col min="2823" max="3072" width="9.140625" style="347"/>
    <col min="3073" max="3073" width="18.42578125" style="347" customWidth="1"/>
    <col min="3074" max="3074" width="16.5703125" style="347" customWidth="1"/>
    <col min="3075" max="3075" width="15.85546875" style="347" customWidth="1"/>
    <col min="3076" max="3076" width="16.140625" style="347" customWidth="1"/>
    <col min="3077" max="3077" width="23.140625" style="347" customWidth="1"/>
    <col min="3078" max="3078" width="34" style="347" customWidth="1"/>
    <col min="3079" max="3328" width="9.140625" style="347"/>
    <col min="3329" max="3329" width="18.42578125" style="347" customWidth="1"/>
    <col min="3330" max="3330" width="16.5703125" style="347" customWidth="1"/>
    <col min="3331" max="3331" width="15.85546875" style="347" customWidth="1"/>
    <col min="3332" max="3332" width="16.140625" style="347" customWidth="1"/>
    <col min="3333" max="3333" width="23.140625" style="347" customWidth="1"/>
    <col min="3334" max="3334" width="34" style="347" customWidth="1"/>
    <col min="3335" max="3584" width="9.140625" style="347"/>
    <col min="3585" max="3585" width="18.42578125" style="347" customWidth="1"/>
    <col min="3586" max="3586" width="16.5703125" style="347" customWidth="1"/>
    <col min="3587" max="3587" width="15.85546875" style="347" customWidth="1"/>
    <col min="3588" max="3588" width="16.140625" style="347" customWidth="1"/>
    <col min="3589" max="3589" width="23.140625" style="347" customWidth="1"/>
    <col min="3590" max="3590" width="34" style="347" customWidth="1"/>
    <col min="3591" max="3840" width="9.140625" style="347"/>
    <col min="3841" max="3841" width="18.42578125" style="347" customWidth="1"/>
    <col min="3842" max="3842" width="16.5703125" style="347" customWidth="1"/>
    <col min="3843" max="3843" width="15.85546875" style="347" customWidth="1"/>
    <col min="3844" max="3844" width="16.140625" style="347" customWidth="1"/>
    <col min="3845" max="3845" width="23.140625" style="347" customWidth="1"/>
    <col min="3846" max="3846" width="34" style="347" customWidth="1"/>
    <col min="3847" max="4096" width="9.140625" style="347"/>
    <col min="4097" max="4097" width="18.42578125" style="347" customWidth="1"/>
    <col min="4098" max="4098" width="16.5703125" style="347" customWidth="1"/>
    <col min="4099" max="4099" width="15.85546875" style="347" customWidth="1"/>
    <col min="4100" max="4100" width="16.140625" style="347" customWidth="1"/>
    <col min="4101" max="4101" width="23.140625" style="347" customWidth="1"/>
    <col min="4102" max="4102" width="34" style="347" customWidth="1"/>
    <col min="4103" max="4352" width="9.140625" style="347"/>
    <col min="4353" max="4353" width="18.42578125" style="347" customWidth="1"/>
    <col min="4354" max="4354" width="16.5703125" style="347" customWidth="1"/>
    <col min="4355" max="4355" width="15.85546875" style="347" customWidth="1"/>
    <col min="4356" max="4356" width="16.140625" style="347" customWidth="1"/>
    <col min="4357" max="4357" width="23.140625" style="347" customWidth="1"/>
    <col min="4358" max="4358" width="34" style="347" customWidth="1"/>
    <col min="4359" max="4608" width="9.140625" style="347"/>
    <col min="4609" max="4609" width="18.42578125" style="347" customWidth="1"/>
    <col min="4610" max="4610" width="16.5703125" style="347" customWidth="1"/>
    <col min="4611" max="4611" width="15.85546875" style="347" customWidth="1"/>
    <col min="4612" max="4612" width="16.140625" style="347" customWidth="1"/>
    <col min="4613" max="4613" width="23.140625" style="347" customWidth="1"/>
    <col min="4614" max="4614" width="34" style="347" customWidth="1"/>
    <col min="4615" max="4864" width="9.140625" style="347"/>
    <col min="4865" max="4865" width="18.42578125" style="347" customWidth="1"/>
    <col min="4866" max="4866" width="16.5703125" style="347" customWidth="1"/>
    <col min="4867" max="4867" width="15.85546875" style="347" customWidth="1"/>
    <col min="4868" max="4868" width="16.140625" style="347" customWidth="1"/>
    <col min="4869" max="4869" width="23.140625" style="347" customWidth="1"/>
    <col min="4870" max="4870" width="34" style="347" customWidth="1"/>
    <col min="4871" max="5120" width="9.140625" style="347"/>
    <col min="5121" max="5121" width="18.42578125" style="347" customWidth="1"/>
    <col min="5122" max="5122" width="16.5703125" style="347" customWidth="1"/>
    <col min="5123" max="5123" width="15.85546875" style="347" customWidth="1"/>
    <col min="5124" max="5124" width="16.140625" style="347" customWidth="1"/>
    <col min="5125" max="5125" width="23.140625" style="347" customWidth="1"/>
    <col min="5126" max="5126" width="34" style="347" customWidth="1"/>
    <col min="5127" max="5376" width="9.140625" style="347"/>
    <col min="5377" max="5377" width="18.42578125" style="347" customWidth="1"/>
    <col min="5378" max="5378" width="16.5703125" style="347" customWidth="1"/>
    <col min="5379" max="5379" width="15.85546875" style="347" customWidth="1"/>
    <col min="5380" max="5380" width="16.140625" style="347" customWidth="1"/>
    <col min="5381" max="5381" width="23.140625" style="347" customWidth="1"/>
    <col min="5382" max="5382" width="34" style="347" customWidth="1"/>
    <col min="5383" max="5632" width="9.140625" style="347"/>
    <col min="5633" max="5633" width="18.42578125" style="347" customWidth="1"/>
    <col min="5634" max="5634" width="16.5703125" style="347" customWidth="1"/>
    <col min="5635" max="5635" width="15.85546875" style="347" customWidth="1"/>
    <col min="5636" max="5636" width="16.140625" style="347" customWidth="1"/>
    <col min="5637" max="5637" width="23.140625" style="347" customWidth="1"/>
    <col min="5638" max="5638" width="34" style="347" customWidth="1"/>
    <col min="5639" max="5888" width="9.140625" style="347"/>
    <col min="5889" max="5889" width="18.42578125" style="347" customWidth="1"/>
    <col min="5890" max="5890" width="16.5703125" style="347" customWidth="1"/>
    <col min="5891" max="5891" width="15.85546875" style="347" customWidth="1"/>
    <col min="5892" max="5892" width="16.140625" style="347" customWidth="1"/>
    <col min="5893" max="5893" width="23.140625" style="347" customWidth="1"/>
    <col min="5894" max="5894" width="34" style="347" customWidth="1"/>
    <col min="5895" max="6144" width="9.140625" style="347"/>
    <col min="6145" max="6145" width="18.42578125" style="347" customWidth="1"/>
    <col min="6146" max="6146" width="16.5703125" style="347" customWidth="1"/>
    <col min="6147" max="6147" width="15.85546875" style="347" customWidth="1"/>
    <col min="6148" max="6148" width="16.140625" style="347" customWidth="1"/>
    <col min="6149" max="6149" width="23.140625" style="347" customWidth="1"/>
    <col min="6150" max="6150" width="34" style="347" customWidth="1"/>
    <col min="6151" max="6400" width="9.140625" style="347"/>
    <col min="6401" max="6401" width="18.42578125" style="347" customWidth="1"/>
    <col min="6402" max="6402" width="16.5703125" style="347" customWidth="1"/>
    <col min="6403" max="6403" width="15.85546875" style="347" customWidth="1"/>
    <col min="6404" max="6404" width="16.140625" style="347" customWidth="1"/>
    <col min="6405" max="6405" width="23.140625" style="347" customWidth="1"/>
    <col min="6406" max="6406" width="34" style="347" customWidth="1"/>
    <col min="6407" max="6656" width="9.140625" style="347"/>
    <col min="6657" max="6657" width="18.42578125" style="347" customWidth="1"/>
    <col min="6658" max="6658" width="16.5703125" style="347" customWidth="1"/>
    <col min="6659" max="6659" width="15.85546875" style="347" customWidth="1"/>
    <col min="6660" max="6660" width="16.140625" style="347" customWidth="1"/>
    <col min="6661" max="6661" width="23.140625" style="347" customWidth="1"/>
    <col min="6662" max="6662" width="34" style="347" customWidth="1"/>
    <col min="6663" max="6912" width="9.140625" style="347"/>
    <col min="6913" max="6913" width="18.42578125" style="347" customWidth="1"/>
    <col min="6914" max="6914" width="16.5703125" style="347" customWidth="1"/>
    <col min="6915" max="6915" width="15.85546875" style="347" customWidth="1"/>
    <col min="6916" max="6916" width="16.140625" style="347" customWidth="1"/>
    <col min="6917" max="6917" width="23.140625" style="347" customWidth="1"/>
    <col min="6918" max="6918" width="34" style="347" customWidth="1"/>
    <col min="6919" max="7168" width="9.140625" style="347"/>
    <col min="7169" max="7169" width="18.42578125" style="347" customWidth="1"/>
    <col min="7170" max="7170" width="16.5703125" style="347" customWidth="1"/>
    <col min="7171" max="7171" width="15.85546875" style="347" customWidth="1"/>
    <col min="7172" max="7172" width="16.140625" style="347" customWidth="1"/>
    <col min="7173" max="7173" width="23.140625" style="347" customWidth="1"/>
    <col min="7174" max="7174" width="34" style="347" customWidth="1"/>
    <col min="7175" max="7424" width="9.140625" style="347"/>
    <col min="7425" max="7425" width="18.42578125" style="347" customWidth="1"/>
    <col min="7426" max="7426" width="16.5703125" style="347" customWidth="1"/>
    <col min="7427" max="7427" width="15.85546875" style="347" customWidth="1"/>
    <col min="7428" max="7428" width="16.140625" style="347" customWidth="1"/>
    <col min="7429" max="7429" width="23.140625" style="347" customWidth="1"/>
    <col min="7430" max="7430" width="34" style="347" customWidth="1"/>
    <col min="7431" max="7680" width="9.140625" style="347"/>
    <col min="7681" max="7681" width="18.42578125" style="347" customWidth="1"/>
    <col min="7682" max="7682" width="16.5703125" style="347" customWidth="1"/>
    <col min="7683" max="7683" width="15.85546875" style="347" customWidth="1"/>
    <col min="7684" max="7684" width="16.140625" style="347" customWidth="1"/>
    <col min="7685" max="7685" width="23.140625" style="347" customWidth="1"/>
    <col min="7686" max="7686" width="34" style="347" customWidth="1"/>
    <col min="7687" max="7936" width="9.140625" style="347"/>
    <col min="7937" max="7937" width="18.42578125" style="347" customWidth="1"/>
    <col min="7938" max="7938" width="16.5703125" style="347" customWidth="1"/>
    <col min="7939" max="7939" width="15.85546875" style="347" customWidth="1"/>
    <col min="7940" max="7940" width="16.140625" style="347" customWidth="1"/>
    <col min="7941" max="7941" width="23.140625" style="347" customWidth="1"/>
    <col min="7942" max="7942" width="34" style="347" customWidth="1"/>
    <col min="7943" max="8192" width="9.140625" style="347"/>
    <col min="8193" max="8193" width="18.42578125" style="347" customWidth="1"/>
    <col min="8194" max="8194" width="16.5703125" style="347" customWidth="1"/>
    <col min="8195" max="8195" width="15.85546875" style="347" customWidth="1"/>
    <col min="8196" max="8196" width="16.140625" style="347" customWidth="1"/>
    <col min="8197" max="8197" width="23.140625" style="347" customWidth="1"/>
    <col min="8198" max="8198" width="34" style="347" customWidth="1"/>
    <col min="8199" max="8448" width="9.140625" style="347"/>
    <col min="8449" max="8449" width="18.42578125" style="347" customWidth="1"/>
    <col min="8450" max="8450" width="16.5703125" style="347" customWidth="1"/>
    <col min="8451" max="8451" width="15.85546875" style="347" customWidth="1"/>
    <col min="8452" max="8452" width="16.140625" style="347" customWidth="1"/>
    <col min="8453" max="8453" width="23.140625" style="347" customWidth="1"/>
    <col min="8454" max="8454" width="34" style="347" customWidth="1"/>
    <col min="8455" max="8704" width="9.140625" style="347"/>
    <col min="8705" max="8705" width="18.42578125" style="347" customWidth="1"/>
    <col min="8706" max="8706" width="16.5703125" style="347" customWidth="1"/>
    <col min="8707" max="8707" width="15.85546875" style="347" customWidth="1"/>
    <col min="8708" max="8708" width="16.140625" style="347" customWidth="1"/>
    <col min="8709" max="8709" width="23.140625" style="347" customWidth="1"/>
    <col min="8710" max="8710" width="34" style="347" customWidth="1"/>
    <col min="8711" max="8960" width="9.140625" style="347"/>
    <col min="8961" max="8961" width="18.42578125" style="347" customWidth="1"/>
    <col min="8962" max="8962" width="16.5703125" style="347" customWidth="1"/>
    <col min="8963" max="8963" width="15.85546875" style="347" customWidth="1"/>
    <col min="8964" max="8964" width="16.140625" style="347" customWidth="1"/>
    <col min="8965" max="8965" width="23.140625" style="347" customWidth="1"/>
    <col min="8966" max="8966" width="34" style="347" customWidth="1"/>
    <col min="8967" max="9216" width="9.140625" style="347"/>
    <col min="9217" max="9217" width="18.42578125" style="347" customWidth="1"/>
    <col min="9218" max="9218" width="16.5703125" style="347" customWidth="1"/>
    <col min="9219" max="9219" width="15.85546875" style="347" customWidth="1"/>
    <col min="9220" max="9220" width="16.140625" style="347" customWidth="1"/>
    <col min="9221" max="9221" width="23.140625" style="347" customWidth="1"/>
    <col min="9222" max="9222" width="34" style="347" customWidth="1"/>
    <col min="9223" max="9472" width="9.140625" style="347"/>
    <col min="9473" max="9473" width="18.42578125" style="347" customWidth="1"/>
    <col min="9474" max="9474" width="16.5703125" style="347" customWidth="1"/>
    <col min="9475" max="9475" width="15.85546875" style="347" customWidth="1"/>
    <col min="9476" max="9476" width="16.140625" style="347" customWidth="1"/>
    <col min="9477" max="9477" width="23.140625" style="347" customWidth="1"/>
    <col min="9478" max="9478" width="34" style="347" customWidth="1"/>
    <col min="9479" max="9728" width="9.140625" style="347"/>
    <col min="9729" max="9729" width="18.42578125" style="347" customWidth="1"/>
    <col min="9730" max="9730" width="16.5703125" style="347" customWidth="1"/>
    <col min="9731" max="9731" width="15.85546875" style="347" customWidth="1"/>
    <col min="9732" max="9732" width="16.140625" style="347" customWidth="1"/>
    <col min="9733" max="9733" width="23.140625" style="347" customWidth="1"/>
    <col min="9734" max="9734" width="34" style="347" customWidth="1"/>
    <col min="9735" max="9984" width="9.140625" style="347"/>
    <col min="9985" max="9985" width="18.42578125" style="347" customWidth="1"/>
    <col min="9986" max="9986" width="16.5703125" style="347" customWidth="1"/>
    <col min="9987" max="9987" width="15.85546875" style="347" customWidth="1"/>
    <col min="9988" max="9988" width="16.140625" style="347" customWidth="1"/>
    <col min="9989" max="9989" width="23.140625" style="347" customWidth="1"/>
    <col min="9990" max="9990" width="34" style="347" customWidth="1"/>
    <col min="9991" max="10240" width="9.140625" style="347"/>
    <col min="10241" max="10241" width="18.42578125" style="347" customWidth="1"/>
    <col min="10242" max="10242" width="16.5703125" style="347" customWidth="1"/>
    <col min="10243" max="10243" width="15.85546875" style="347" customWidth="1"/>
    <col min="10244" max="10244" width="16.140625" style="347" customWidth="1"/>
    <col min="10245" max="10245" width="23.140625" style="347" customWidth="1"/>
    <col min="10246" max="10246" width="34" style="347" customWidth="1"/>
    <col min="10247" max="10496" width="9.140625" style="347"/>
    <col min="10497" max="10497" width="18.42578125" style="347" customWidth="1"/>
    <col min="10498" max="10498" width="16.5703125" style="347" customWidth="1"/>
    <col min="10499" max="10499" width="15.85546875" style="347" customWidth="1"/>
    <col min="10500" max="10500" width="16.140625" style="347" customWidth="1"/>
    <col min="10501" max="10501" width="23.140625" style="347" customWidth="1"/>
    <col min="10502" max="10502" width="34" style="347" customWidth="1"/>
    <col min="10503" max="10752" width="9.140625" style="347"/>
    <col min="10753" max="10753" width="18.42578125" style="347" customWidth="1"/>
    <col min="10754" max="10754" width="16.5703125" style="347" customWidth="1"/>
    <col min="10755" max="10755" width="15.85546875" style="347" customWidth="1"/>
    <col min="10756" max="10756" width="16.140625" style="347" customWidth="1"/>
    <col min="10757" max="10757" width="23.140625" style="347" customWidth="1"/>
    <col min="10758" max="10758" width="34" style="347" customWidth="1"/>
    <col min="10759" max="11008" width="9.140625" style="347"/>
    <col min="11009" max="11009" width="18.42578125" style="347" customWidth="1"/>
    <col min="11010" max="11010" width="16.5703125" style="347" customWidth="1"/>
    <col min="11011" max="11011" width="15.85546875" style="347" customWidth="1"/>
    <col min="11012" max="11012" width="16.140625" style="347" customWidth="1"/>
    <col min="11013" max="11013" width="23.140625" style="347" customWidth="1"/>
    <col min="11014" max="11014" width="34" style="347" customWidth="1"/>
    <col min="11015" max="11264" width="9.140625" style="347"/>
    <col min="11265" max="11265" width="18.42578125" style="347" customWidth="1"/>
    <col min="11266" max="11266" width="16.5703125" style="347" customWidth="1"/>
    <col min="11267" max="11267" width="15.85546875" style="347" customWidth="1"/>
    <col min="11268" max="11268" width="16.140625" style="347" customWidth="1"/>
    <col min="11269" max="11269" width="23.140625" style="347" customWidth="1"/>
    <col min="11270" max="11270" width="34" style="347" customWidth="1"/>
    <col min="11271" max="11520" width="9.140625" style="347"/>
    <col min="11521" max="11521" width="18.42578125" style="347" customWidth="1"/>
    <col min="11522" max="11522" width="16.5703125" style="347" customWidth="1"/>
    <col min="11523" max="11523" width="15.85546875" style="347" customWidth="1"/>
    <col min="11524" max="11524" width="16.140625" style="347" customWidth="1"/>
    <col min="11525" max="11525" width="23.140625" style="347" customWidth="1"/>
    <col min="11526" max="11526" width="34" style="347" customWidth="1"/>
    <col min="11527" max="11776" width="9.140625" style="347"/>
    <col min="11777" max="11777" width="18.42578125" style="347" customWidth="1"/>
    <col min="11778" max="11778" width="16.5703125" style="347" customWidth="1"/>
    <col min="11779" max="11779" width="15.85546875" style="347" customWidth="1"/>
    <col min="11780" max="11780" width="16.140625" style="347" customWidth="1"/>
    <col min="11781" max="11781" width="23.140625" style="347" customWidth="1"/>
    <col min="11782" max="11782" width="34" style="347" customWidth="1"/>
    <col min="11783" max="12032" width="9.140625" style="347"/>
    <col min="12033" max="12033" width="18.42578125" style="347" customWidth="1"/>
    <col min="12034" max="12034" width="16.5703125" style="347" customWidth="1"/>
    <col min="12035" max="12035" width="15.85546875" style="347" customWidth="1"/>
    <col min="12036" max="12036" width="16.140625" style="347" customWidth="1"/>
    <col min="12037" max="12037" width="23.140625" style="347" customWidth="1"/>
    <col min="12038" max="12038" width="34" style="347" customWidth="1"/>
    <col min="12039" max="12288" width="9.140625" style="347"/>
    <col min="12289" max="12289" width="18.42578125" style="347" customWidth="1"/>
    <col min="12290" max="12290" width="16.5703125" style="347" customWidth="1"/>
    <col min="12291" max="12291" width="15.85546875" style="347" customWidth="1"/>
    <col min="12292" max="12292" width="16.140625" style="347" customWidth="1"/>
    <col min="12293" max="12293" width="23.140625" style="347" customWidth="1"/>
    <col min="12294" max="12294" width="34" style="347" customWidth="1"/>
    <col min="12295" max="12544" width="9.140625" style="347"/>
    <col min="12545" max="12545" width="18.42578125" style="347" customWidth="1"/>
    <col min="12546" max="12546" width="16.5703125" style="347" customWidth="1"/>
    <col min="12547" max="12547" width="15.85546875" style="347" customWidth="1"/>
    <col min="12548" max="12548" width="16.140625" style="347" customWidth="1"/>
    <col min="12549" max="12549" width="23.140625" style="347" customWidth="1"/>
    <col min="12550" max="12550" width="34" style="347" customWidth="1"/>
    <col min="12551" max="12800" width="9.140625" style="347"/>
    <col min="12801" max="12801" width="18.42578125" style="347" customWidth="1"/>
    <col min="12802" max="12802" width="16.5703125" style="347" customWidth="1"/>
    <col min="12803" max="12803" width="15.85546875" style="347" customWidth="1"/>
    <col min="12804" max="12804" width="16.140625" style="347" customWidth="1"/>
    <col min="12805" max="12805" width="23.140625" style="347" customWidth="1"/>
    <col min="12806" max="12806" width="34" style="347" customWidth="1"/>
    <col min="12807" max="13056" width="9.140625" style="347"/>
    <col min="13057" max="13057" width="18.42578125" style="347" customWidth="1"/>
    <col min="13058" max="13058" width="16.5703125" style="347" customWidth="1"/>
    <col min="13059" max="13059" width="15.85546875" style="347" customWidth="1"/>
    <col min="13060" max="13060" width="16.140625" style="347" customWidth="1"/>
    <col min="13061" max="13061" width="23.140625" style="347" customWidth="1"/>
    <col min="13062" max="13062" width="34" style="347" customWidth="1"/>
    <col min="13063" max="13312" width="9.140625" style="347"/>
    <col min="13313" max="13313" width="18.42578125" style="347" customWidth="1"/>
    <col min="13314" max="13314" width="16.5703125" style="347" customWidth="1"/>
    <col min="13315" max="13315" width="15.85546875" style="347" customWidth="1"/>
    <col min="13316" max="13316" width="16.140625" style="347" customWidth="1"/>
    <col min="13317" max="13317" width="23.140625" style="347" customWidth="1"/>
    <col min="13318" max="13318" width="34" style="347" customWidth="1"/>
    <col min="13319" max="13568" width="9.140625" style="347"/>
    <col min="13569" max="13569" width="18.42578125" style="347" customWidth="1"/>
    <col min="13570" max="13570" width="16.5703125" style="347" customWidth="1"/>
    <col min="13571" max="13571" width="15.85546875" style="347" customWidth="1"/>
    <col min="13572" max="13572" width="16.140625" style="347" customWidth="1"/>
    <col min="13573" max="13573" width="23.140625" style="347" customWidth="1"/>
    <col min="13574" max="13574" width="34" style="347" customWidth="1"/>
    <col min="13575" max="13824" width="9.140625" style="347"/>
    <col min="13825" max="13825" width="18.42578125" style="347" customWidth="1"/>
    <col min="13826" max="13826" width="16.5703125" style="347" customWidth="1"/>
    <col min="13827" max="13827" width="15.85546875" style="347" customWidth="1"/>
    <col min="13828" max="13828" width="16.140625" style="347" customWidth="1"/>
    <col min="13829" max="13829" width="23.140625" style="347" customWidth="1"/>
    <col min="13830" max="13830" width="34" style="347" customWidth="1"/>
    <col min="13831" max="14080" width="9.140625" style="347"/>
    <col min="14081" max="14081" width="18.42578125" style="347" customWidth="1"/>
    <col min="14082" max="14082" width="16.5703125" style="347" customWidth="1"/>
    <col min="14083" max="14083" width="15.85546875" style="347" customWidth="1"/>
    <col min="14084" max="14084" width="16.140625" style="347" customWidth="1"/>
    <col min="14085" max="14085" width="23.140625" style="347" customWidth="1"/>
    <col min="14086" max="14086" width="34" style="347" customWidth="1"/>
    <col min="14087" max="14336" width="9.140625" style="347"/>
    <col min="14337" max="14337" width="18.42578125" style="347" customWidth="1"/>
    <col min="14338" max="14338" width="16.5703125" style="347" customWidth="1"/>
    <col min="14339" max="14339" width="15.85546875" style="347" customWidth="1"/>
    <col min="14340" max="14340" width="16.140625" style="347" customWidth="1"/>
    <col min="14341" max="14341" width="23.140625" style="347" customWidth="1"/>
    <col min="14342" max="14342" width="34" style="347" customWidth="1"/>
    <col min="14343" max="14592" width="9.140625" style="347"/>
    <col min="14593" max="14593" width="18.42578125" style="347" customWidth="1"/>
    <col min="14594" max="14594" width="16.5703125" style="347" customWidth="1"/>
    <col min="14595" max="14595" width="15.85546875" style="347" customWidth="1"/>
    <col min="14596" max="14596" width="16.140625" style="347" customWidth="1"/>
    <col min="14597" max="14597" width="23.140625" style="347" customWidth="1"/>
    <col min="14598" max="14598" width="34" style="347" customWidth="1"/>
    <col min="14599" max="14848" width="9.140625" style="347"/>
    <col min="14849" max="14849" width="18.42578125" style="347" customWidth="1"/>
    <col min="14850" max="14850" width="16.5703125" style="347" customWidth="1"/>
    <col min="14851" max="14851" width="15.85546875" style="347" customWidth="1"/>
    <col min="14852" max="14852" width="16.140625" style="347" customWidth="1"/>
    <col min="14853" max="14853" width="23.140625" style="347" customWidth="1"/>
    <col min="14854" max="14854" width="34" style="347" customWidth="1"/>
    <col min="14855" max="15104" width="9.140625" style="347"/>
    <col min="15105" max="15105" width="18.42578125" style="347" customWidth="1"/>
    <col min="15106" max="15106" width="16.5703125" style="347" customWidth="1"/>
    <col min="15107" max="15107" width="15.85546875" style="347" customWidth="1"/>
    <col min="15108" max="15108" width="16.140625" style="347" customWidth="1"/>
    <col min="15109" max="15109" width="23.140625" style="347" customWidth="1"/>
    <col min="15110" max="15110" width="34" style="347" customWidth="1"/>
    <col min="15111" max="15360" width="9.140625" style="347"/>
    <col min="15361" max="15361" width="18.42578125" style="347" customWidth="1"/>
    <col min="15362" max="15362" width="16.5703125" style="347" customWidth="1"/>
    <col min="15363" max="15363" width="15.85546875" style="347" customWidth="1"/>
    <col min="15364" max="15364" width="16.140625" style="347" customWidth="1"/>
    <col min="15365" max="15365" width="23.140625" style="347" customWidth="1"/>
    <col min="15366" max="15366" width="34" style="347" customWidth="1"/>
    <col min="15367" max="15616" width="9.140625" style="347"/>
    <col min="15617" max="15617" width="18.42578125" style="347" customWidth="1"/>
    <col min="15618" max="15618" width="16.5703125" style="347" customWidth="1"/>
    <col min="15619" max="15619" width="15.85546875" style="347" customWidth="1"/>
    <col min="15620" max="15620" width="16.140625" style="347" customWidth="1"/>
    <col min="15621" max="15621" width="23.140625" style="347" customWidth="1"/>
    <col min="15622" max="15622" width="34" style="347" customWidth="1"/>
    <col min="15623" max="15872" width="9.140625" style="347"/>
    <col min="15873" max="15873" width="18.42578125" style="347" customWidth="1"/>
    <col min="15874" max="15874" width="16.5703125" style="347" customWidth="1"/>
    <col min="15875" max="15875" width="15.85546875" style="347" customWidth="1"/>
    <col min="15876" max="15876" width="16.140625" style="347" customWidth="1"/>
    <col min="15877" max="15877" width="23.140625" style="347" customWidth="1"/>
    <col min="15878" max="15878" width="34" style="347" customWidth="1"/>
    <col min="15879" max="16128" width="9.140625" style="347"/>
    <col min="16129" max="16129" width="18.42578125" style="347" customWidth="1"/>
    <col min="16130" max="16130" width="16.5703125" style="347" customWidth="1"/>
    <col min="16131" max="16131" width="15.85546875" style="347" customWidth="1"/>
    <col min="16132" max="16132" width="16.140625" style="347" customWidth="1"/>
    <col min="16133" max="16133" width="23.140625" style="347" customWidth="1"/>
    <col min="16134" max="16134" width="34" style="347" customWidth="1"/>
    <col min="16135" max="16384" width="9.140625" style="347"/>
  </cols>
  <sheetData>
    <row r="1" spans="1:9" s="287" customFormat="1" ht="15" customHeight="1">
      <c r="A1" s="1127" t="s">
        <v>352</v>
      </c>
      <c r="B1" s="1127"/>
      <c r="C1" s="1127"/>
      <c r="D1" s="1127"/>
      <c r="E1" s="1127"/>
      <c r="F1" s="1127"/>
    </row>
    <row r="2" spans="1:9" s="287" customFormat="1" ht="15" customHeight="1">
      <c r="A2" s="1127"/>
      <c r="B2" s="1127"/>
      <c r="C2" s="1127"/>
      <c r="D2" s="1127"/>
      <c r="E2" s="1127"/>
      <c r="F2" s="1127"/>
      <c r="G2" s="336"/>
    </row>
    <row r="3" spans="1:9" s="287" customFormat="1" ht="14.25" customHeight="1">
      <c r="A3" s="1127"/>
      <c r="B3" s="1127"/>
      <c r="C3" s="1127"/>
      <c r="D3" s="1127"/>
      <c r="E3" s="1127"/>
      <c r="F3" s="1127"/>
      <c r="G3" s="336"/>
      <c r="H3" s="1124"/>
      <c r="I3" s="1124"/>
    </row>
    <row r="4" spans="1:9" s="287" customFormat="1" ht="12" customHeight="1" thickBot="1">
      <c r="A4" s="1127"/>
      <c r="B4" s="1127"/>
      <c r="C4" s="1127"/>
      <c r="D4" s="1127"/>
      <c r="E4" s="1127"/>
      <c r="F4" s="1127"/>
      <c r="G4" s="336"/>
      <c r="H4" s="1125"/>
      <c r="I4" s="1126"/>
    </row>
    <row r="5" spans="1:9" s="287" customFormat="1" ht="15.95" customHeight="1" thickBot="1">
      <c r="A5" s="338" t="s">
        <v>266</v>
      </c>
      <c r="B5" s="339" t="s">
        <v>351</v>
      </c>
      <c r="E5" s="338" t="s">
        <v>267</v>
      </c>
      <c r="F5" s="340" t="s">
        <v>353</v>
      </c>
      <c r="G5" s="336"/>
      <c r="H5" s="341"/>
      <c r="I5" s="342"/>
    </row>
    <row r="6" spans="1:9" s="287" customFormat="1" ht="12" customHeight="1" thickBot="1">
      <c r="B6" s="343"/>
      <c r="E6" s="337"/>
      <c r="G6" s="336"/>
      <c r="H6" s="341"/>
      <c r="I6" s="342"/>
    </row>
    <row r="7" spans="1:9">
      <c r="A7" s="344" t="s">
        <v>354</v>
      </c>
      <c r="B7" s="345" t="s">
        <v>236</v>
      </c>
      <c r="C7" s="345" t="s">
        <v>355</v>
      </c>
      <c r="D7" s="345" t="s">
        <v>356</v>
      </c>
      <c r="E7" s="345" t="s">
        <v>357</v>
      </c>
      <c r="F7" s="346" t="s">
        <v>358</v>
      </c>
    </row>
    <row r="8" spans="1:9" ht="16.5">
      <c r="A8" s="348" t="s">
        <v>148</v>
      </c>
      <c r="B8" s="349" t="s">
        <v>359</v>
      </c>
      <c r="C8" s="350" t="s">
        <v>360</v>
      </c>
      <c r="D8" s="349"/>
      <c r="E8" s="351" t="s">
        <v>173</v>
      </c>
      <c r="F8" s="352" t="s">
        <v>361</v>
      </c>
    </row>
    <row r="9" spans="1:9">
      <c r="A9" s="353">
        <v>6000</v>
      </c>
      <c r="B9" s="354">
        <v>250</v>
      </c>
      <c r="C9" s="354">
        <v>196</v>
      </c>
      <c r="D9" s="354">
        <v>2500</v>
      </c>
      <c r="E9" s="355">
        <v>4097</v>
      </c>
      <c r="F9" s="356">
        <v>2608</v>
      </c>
    </row>
    <row r="10" spans="1:9">
      <c r="A10" s="357"/>
      <c r="B10" s="358"/>
      <c r="C10" s="358"/>
      <c r="D10" s="358"/>
      <c r="E10" s="358"/>
      <c r="F10" s="359"/>
    </row>
    <row r="11" spans="1:9">
      <c r="A11" s="348" t="s">
        <v>362</v>
      </c>
      <c r="B11" s="349" t="s">
        <v>363</v>
      </c>
      <c r="C11" s="349" t="s">
        <v>28</v>
      </c>
      <c r="D11" s="349" t="s">
        <v>364</v>
      </c>
      <c r="E11" s="349" t="s">
        <v>365</v>
      </c>
      <c r="F11" s="352" t="s">
        <v>366</v>
      </c>
    </row>
    <row r="12" spans="1:9">
      <c r="A12" s="348" t="s">
        <v>367</v>
      </c>
      <c r="B12" s="349" t="s">
        <v>368</v>
      </c>
      <c r="C12" s="349" t="s">
        <v>88</v>
      </c>
      <c r="D12" s="349" t="s">
        <v>17</v>
      </c>
      <c r="E12" s="349" t="s">
        <v>369</v>
      </c>
      <c r="F12" s="352" t="s">
        <v>19</v>
      </c>
    </row>
    <row r="13" spans="1:9" ht="15.75" thickBot="1">
      <c r="A13" s="360">
        <v>26</v>
      </c>
      <c r="B13" s="361">
        <v>1.62</v>
      </c>
      <c r="C13" s="362">
        <v>98.8</v>
      </c>
      <c r="D13" s="362">
        <v>500</v>
      </c>
      <c r="E13" s="362">
        <v>100</v>
      </c>
      <c r="F13" s="363">
        <v>3.5</v>
      </c>
    </row>
    <row r="14" spans="1:9" ht="15.75" thickBot="1">
      <c r="A14" s="364"/>
      <c r="B14" s="365"/>
      <c r="C14" s="366"/>
      <c r="D14" s="366" t="s">
        <v>370</v>
      </c>
      <c r="E14" s="366"/>
      <c r="F14" s="366"/>
    </row>
    <row r="15" spans="1:9" ht="15.75" thickBot="1">
      <c r="A15" s="367" t="s">
        <v>371</v>
      </c>
      <c r="B15" s="368"/>
      <c r="C15" s="368"/>
      <c r="D15" s="368"/>
      <c r="E15" s="368"/>
      <c r="F15" s="369"/>
    </row>
    <row r="16" spans="1:9">
      <c r="A16" s="370"/>
      <c r="B16" s="371"/>
      <c r="C16" s="371"/>
      <c r="D16" s="371"/>
      <c r="E16" s="371"/>
      <c r="F16" s="372"/>
    </row>
    <row r="17" spans="1:256">
      <c r="A17" s="373" t="s">
        <v>372</v>
      </c>
      <c r="B17" s="374">
        <v>6000</v>
      </c>
      <c r="C17" s="375" t="s">
        <v>46</v>
      </c>
      <c r="D17" s="375"/>
      <c r="E17" s="375"/>
      <c r="F17" s="376"/>
    </row>
    <row r="18" spans="1:256">
      <c r="A18" s="377"/>
      <c r="B18" s="375"/>
      <c r="C18" s="375"/>
      <c r="D18" s="375"/>
      <c r="E18" s="375"/>
      <c r="F18" s="376"/>
    </row>
    <row r="19" spans="1:256">
      <c r="A19" s="378" t="s">
        <v>373</v>
      </c>
      <c r="B19" s="375"/>
      <c r="C19" s="379"/>
      <c r="D19" s="380" t="s">
        <v>374</v>
      </c>
      <c r="E19" s="381" t="s">
        <v>375</v>
      </c>
      <c r="F19" s="376"/>
    </row>
    <row r="20" spans="1:256" s="388" customFormat="1" ht="16.5">
      <c r="A20" s="382" t="s">
        <v>376</v>
      </c>
      <c r="B20" s="383"/>
      <c r="C20" s="383"/>
      <c r="D20" s="384" t="s">
        <v>374</v>
      </c>
      <c r="E20" s="385">
        <f>A13</f>
        <v>26</v>
      </c>
      <c r="F20" s="386" t="s">
        <v>367</v>
      </c>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c r="IV20" s="387"/>
    </row>
    <row r="21" spans="1:256" s="388" customFormat="1" ht="16.5">
      <c r="A21" s="389"/>
      <c r="B21" s="385"/>
      <c r="C21" s="385"/>
      <c r="D21" s="385"/>
      <c r="E21" s="385"/>
      <c r="F21" s="386"/>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87"/>
      <c r="IV21" s="387"/>
    </row>
    <row r="22" spans="1:256" s="388" customFormat="1" ht="16.5">
      <c r="A22" s="382" t="s">
        <v>377</v>
      </c>
      <c r="B22" s="383"/>
      <c r="C22" s="383"/>
      <c r="D22" s="384" t="s">
        <v>374</v>
      </c>
      <c r="E22" s="385">
        <f>$E$9</f>
        <v>4097</v>
      </c>
      <c r="F22" s="386" t="s">
        <v>367</v>
      </c>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87"/>
      <c r="IV22" s="387"/>
    </row>
    <row r="23" spans="1:256" s="388" customFormat="1" ht="16.5">
      <c r="A23" s="390" t="s">
        <v>378</v>
      </c>
      <c r="B23" s="391"/>
      <c r="C23" s="383"/>
      <c r="D23" s="392" t="s">
        <v>374</v>
      </c>
      <c r="E23" s="393">
        <f>$F$9</f>
        <v>2608</v>
      </c>
      <c r="F23" s="386" t="s">
        <v>367</v>
      </c>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87"/>
      <c r="IV23" s="387"/>
    </row>
    <row r="24" spans="1:256" s="388" customFormat="1" ht="16.5">
      <c r="A24" s="390" t="s">
        <v>379</v>
      </c>
      <c r="B24" s="383"/>
      <c r="C24" s="383"/>
      <c r="D24" s="384" t="s">
        <v>374</v>
      </c>
      <c r="E24" s="393">
        <f>$B$9*2.31/$C$36</f>
        <v>759.82139616670361</v>
      </c>
      <c r="F24" s="386" t="s">
        <v>380</v>
      </c>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87"/>
      <c r="IV24" s="387"/>
    </row>
    <row r="25" spans="1:256" s="388" customFormat="1" ht="16.5">
      <c r="A25" s="390" t="s">
        <v>381</v>
      </c>
      <c r="B25" s="383"/>
      <c r="C25" s="383"/>
      <c r="D25" s="384" t="s">
        <v>374</v>
      </c>
      <c r="E25" s="393">
        <f>$D$13*2.31/$C$36</f>
        <v>1519.6427923334072</v>
      </c>
      <c r="F25" s="386" t="s">
        <v>380</v>
      </c>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87"/>
      <c r="IV25" s="387"/>
    </row>
    <row r="26" spans="1:256" s="388" customFormat="1" ht="16.5">
      <c r="A26" s="390" t="s">
        <v>382</v>
      </c>
      <c r="B26" s="383"/>
      <c r="C26" s="383"/>
      <c r="D26" s="384" t="s">
        <v>374</v>
      </c>
      <c r="E26" s="393">
        <f>E22/1000*$E$13</f>
        <v>409.70000000000005</v>
      </c>
      <c r="F26" s="386" t="s">
        <v>367</v>
      </c>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87"/>
      <c r="IV26" s="387"/>
    </row>
    <row r="27" spans="1:256" s="388" customFormat="1" ht="16.5">
      <c r="A27" s="390" t="s">
        <v>383</v>
      </c>
      <c r="B27" s="383"/>
      <c r="C27" s="383"/>
      <c r="D27" s="384" t="s">
        <v>374</v>
      </c>
      <c r="E27" s="393">
        <f>E23-E24</f>
        <v>1848.1786038332964</v>
      </c>
      <c r="F27" s="386" t="s">
        <v>367</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87"/>
      <c r="IV27" s="387"/>
    </row>
    <row r="28" spans="1:256" s="388" customFormat="1" ht="16.5">
      <c r="A28" s="390"/>
      <c r="B28" s="383"/>
      <c r="C28" s="383"/>
      <c r="D28" s="384"/>
      <c r="E28" s="394"/>
      <c r="F28" s="386"/>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c r="IV28" s="387"/>
    </row>
    <row r="29" spans="1:256" s="388" customFormat="1" ht="16.5">
      <c r="A29" s="390" t="s">
        <v>384</v>
      </c>
      <c r="B29" s="383"/>
      <c r="C29" s="395"/>
      <c r="D29" s="384" t="s">
        <v>374</v>
      </c>
      <c r="E29" s="393">
        <f>E27+E25+E26</f>
        <v>3777.5213961667032</v>
      </c>
      <c r="F29" s="386" t="s">
        <v>380</v>
      </c>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c r="IV29" s="387"/>
    </row>
    <row r="30" spans="1:256" s="388" customFormat="1" ht="16.5">
      <c r="A30" s="389"/>
      <c r="B30" s="385"/>
      <c r="C30" s="396"/>
      <c r="D30" s="397" t="s">
        <v>374</v>
      </c>
      <c r="E30" s="398"/>
      <c r="F30" s="386"/>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c r="IV30" s="387"/>
    </row>
    <row r="31" spans="1:256" s="388" customFormat="1" ht="16.5">
      <c r="A31" s="382" t="s">
        <v>385</v>
      </c>
      <c r="B31" s="383"/>
      <c r="C31" s="395"/>
      <c r="D31" s="397" t="s">
        <v>374</v>
      </c>
      <c r="E31" s="399" t="s">
        <v>386</v>
      </c>
      <c r="F31" s="400"/>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87"/>
      <c r="IV31" s="387"/>
    </row>
    <row r="32" spans="1:256" s="388" customFormat="1" ht="16.5">
      <c r="A32" s="389"/>
      <c r="B32" s="385"/>
      <c r="C32" s="396"/>
      <c r="D32" s="397" t="s">
        <v>374</v>
      </c>
      <c r="E32" s="398">
        <f>E29/E20</f>
        <v>145.28928446795013</v>
      </c>
      <c r="F32" s="386"/>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c r="IV32" s="387"/>
    </row>
    <row r="33" spans="1:256" s="388" customFormat="1" ht="16.5">
      <c r="A33" s="389"/>
      <c r="B33" s="385"/>
      <c r="C33" s="385"/>
      <c r="D33" s="385"/>
      <c r="E33" s="385"/>
      <c r="F33" s="386"/>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c r="IV33" s="387"/>
    </row>
    <row r="34" spans="1:256">
      <c r="A34" s="377" t="s">
        <v>387</v>
      </c>
      <c r="B34" s="375"/>
      <c r="C34" s="379"/>
      <c r="D34" s="401" t="s">
        <v>374</v>
      </c>
      <c r="E34" s="402">
        <v>146</v>
      </c>
      <c r="F34" s="376" t="s">
        <v>388</v>
      </c>
    </row>
    <row r="35" spans="1:256">
      <c r="A35" s="403"/>
      <c r="B35" s="375"/>
      <c r="C35" s="404"/>
      <c r="D35" s="405"/>
      <c r="E35" s="406"/>
      <c r="F35" s="407" t="s">
        <v>389</v>
      </c>
    </row>
    <row r="36" spans="1:256">
      <c r="A36" s="403" t="s">
        <v>390</v>
      </c>
      <c r="B36" s="401" t="s">
        <v>374</v>
      </c>
      <c r="C36" s="408">
        <f>'[6]Gas Calculation'!B51</f>
        <v>0.76004703593961098</v>
      </c>
      <c r="D36" s="409"/>
      <c r="E36" s="409"/>
      <c r="F36" s="410"/>
    </row>
    <row r="37" spans="1:256">
      <c r="A37" s="411" t="s">
        <v>391</v>
      </c>
      <c r="B37" s="412" t="s">
        <v>374</v>
      </c>
      <c r="C37" s="413">
        <f>B13</f>
        <v>1.62</v>
      </c>
      <c r="D37" s="409"/>
      <c r="E37" s="409"/>
      <c r="F37" s="414"/>
    </row>
    <row r="38" spans="1:256">
      <c r="A38" s="411" t="s">
        <v>392</v>
      </c>
      <c r="B38" s="412" t="s">
        <v>374</v>
      </c>
      <c r="C38" s="415" t="s">
        <v>393</v>
      </c>
      <c r="D38" s="409"/>
      <c r="E38" s="409"/>
      <c r="F38" s="414"/>
    </row>
    <row r="39" spans="1:256">
      <c r="A39" s="416"/>
      <c r="B39" s="417" t="s">
        <v>374</v>
      </c>
      <c r="C39" s="413">
        <f>C37*E34</f>
        <v>236.52</v>
      </c>
      <c r="D39" s="409" t="s">
        <v>87</v>
      </c>
      <c r="E39" s="409"/>
      <c r="F39" s="414"/>
    </row>
    <row r="40" spans="1:256">
      <c r="A40" s="418" t="s">
        <v>394</v>
      </c>
      <c r="B40" s="412" t="s">
        <v>374</v>
      </c>
      <c r="C40" s="419" t="s">
        <v>395</v>
      </c>
      <c r="D40" s="419"/>
      <c r="E40" s="419"/>
      <c r="F40" s="420"/>
    </row>
    <row r="41" spans="1:256">
      <c r="A41" s="421"/>
      <c r="B41" s="417" t="s">
        <v>374</v>
      </c>
      <c r="C41" s="413">
        <f>(C39+3+2)*1.1</f>
        <v>265.67200000000003</v>
      </c>
      <c r="D41" s="419" t="s">
        <v>87</v>
      </c>
      <c r="E41" s="419"/>
      <c r="F41" s="420"/>
    </row>
    <row r="42" spans="1:256" ht="16.5">
      <c r="A42" s="422" t="s">
        <v>396</v>
      </c>
      <c r="B42" s="412" t="s">
        <v>374</v>
      </c>
      <c r="C42" s="423">
        <v>273</v>
      </c>
      <c r="D42" s="424" t="s">
        <v>87</v>
      </c>
      <c r="E42" s="425" t="s">
        <v>397</v>
      </c>
      <c r="F42" s="426"/>
    </row>
  </sheetData>
  <mergeCells count="3">
    <mergeCell ref="H3:I3"/>
    <mergeCell ref="H4:I4"/>
    <mergeCell ref="A1:F4"/>
  </mergeCells>
  <hyperlinks>
    <hyperlink ref="E31" r:id="rId1" xr:uid="{00000000-0004-0000-0400-000000000000}"/>
  </hyperlinks>
  <printOptions horizontalCentered="1"/>
  <pageMargins left="0.74803149606299213" right="0.74803149606299213" top="0.86614173228346458" bottom="0.86614173228346458" header="0.51181102362204722" footer="0.51181102362204722"/>
  <pageSetup paperSize="9" scale="66" orientation="portrait" horizontalDpi="4294967293" r:id="rId2"/>
  <headerFooter alignWithMargins="0"/>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J191"/>
  <sheetViews>
    <sheetView topLeftCell="A22" zoomScale="85" zoomScaleNormal="85" workbookViewId="0">
      <selection activeCell="D58" sqref="D58"/>
    </sheetView>
  </sheetViews>
  <sheetFormatPr defaultRowHeight="15"/>
  <cols>
    <col min="2" max="2" width="9.7109375" customWidth="1"/>
    <col min="3" max="3" width="9.28515625" bestFit="1" customWidth="1"/>
    <col min="4" max="4" width="13.140625" bestFit="1" customWidth="1"/>
    <col min="5" max="5" width="11.7109375" customWidth="1"/>
    <col min="6" max="10" width="9.28515625" bestFit="1" customWidth="1"/>
    <col min="11" max="11" width="19.140625" customWidth="1"/>
    <col min="12" max="12" width="9.28515625" customWidth="1"/>
    <col min="13" max="13" width="9.140625" customWidth="1"/>
    <col min="16" max="16" width="12.42578125" bestFit="1" customWidth="1"/>
    <col min="18" max="35" width="9.140625" customWidth="1"/>
  </cols>
  <sheetData>
    <row r="1" spans="2:16">
      <c r="B1" s="1" t="s">
        <v>0</v>
      </c>
      <c r="J1" s="1" t="s">
        <v>1</v>
      </c>
    </row>
    <row r="2" spans="2:16">
      <c r="B2" s="228" t="s">
        <v>2</v>
      </c>
      <c r="C2" s="1132" t="s">
        <v>3</v>
      </c>
      <c r="D2" s="1132"/>
      <c r="E2" s="1132"/>
      <c r="F2" s="228" t="s">
        <v>4</v>
      </c>
      <c r="G2" s="228" t="s">
        <v>5</v>
      </c>
      <c r="J2" s="228" t="s">
        <v>2</v>
      </c>
      <c r="K2" s="1129" t="s">
        <v>3</v>
      </c>
      <c r="L2" s="1131"/>
      <c r="M2" s="228" t="s">
        <v>4</v>
      </c>
      <c r="N2" s="228" t="s">
        <v>5</v>
      </c>
    </row>
    <row r="3" spans="2:16">
      <c r="B3" s="2">
        <v>1</v>
      </c>
      <c r="C3" s="3" t="s">
        <v>6</v>
      </c>
      <c r="D3" s="4"/>
      <c r="E3" s="5"/>
      <c r="F3" s="2">
        <f>'Evaluasi ESP'!F3</f>
        <v>0.86499999999999999</v>
      </c>
      <c r="G3" s="2"/>
      <c r="J3" s="2">
        <v>1</v>
      </c>
      <c r="K3" s="7" t="s">
        <v>7</v>
      </c>
      <c r="L3" s="5"/>
      <c r="M3" s="10">
        <f>'Evaluasi ESP'!N3</f>
        <v>6565</v>
      </c>
      <c r="N3" s="2" t="s">
        <v>8</v>
      </c>
    </row>
    <row r="4" spans="2:16">
      <c r="B4" s="2">
        <v>2</v>
      </c>
      <c r="C4" s="3" t="s">
        <v>9</v>
      </c>
      <c r="D4" s="4"/>
      <c r="E4" s="5"/>
      <c r="F4" s="2">
        <f>'Evaluasi ESP'!F4</f>
        <v>1.0121</v>
      </c>
      <c r="G4" s="2"/>
      <c r="J4" s="2">
        <v>2</v>
      </c>
      <c r="K4" s="7" t="s">
        <v>10</v>
      </c>
      <c r="L4" s="5"/>
      <c r="M4" s="10">
        <f>'Evaluasi ESP'!N5</f>
        <v>6258</v>
      </c>
      <c r="N4" s="2" t="s">
        <v>8</v>
      </c>
      <c r="O4" s="244"/>
    </row>
    <row r="5" spans="2:16">
      <c r="B5" s="2">
        <v>3</v>
      </c>
      <c r="C5" s="3" t="s">
        <v>11</v>
      </c>
      <c r="D5" s="4"/>
      <c r="E5" s="5"/>
      <c r="F5" s="16">
        <f>'Evaluasi ESP'!F6</f>
        <v>32.083815028901739</v>
      </c>
      <c r="G5" s="2" t="s">
        <v>39</v>
      </c>
      <c r="J5" s="2">
        <v>3</v>
      </c>
      <c r="K5" s="7" t="s">
        <v>12</v>
      </c>
      <c r="L5" s="5"/>
      <c r="M5" s="10">
        <f>'Evaluasi ESP'!N6</f>
        <v>6412</v>
      </c>
      <c r="N5" s="2" t="s">
        <v>8</v>
      </c>
    </row>
    <row r="6" spans="2:16">
      <c r="B6" s="106">
        <v>4</v>
      </c>
      <c r="C6" s="247" t="s">
        <v>13</v>
      </c>
      <c r="D6" s="258"/>
      <c r="E6" s="5"/>
      <c r="F6" s="106">
        <f>'Evaluasi ESP'!F7</f>
        <v>196</v>
      </c>
      <c r="G6" s="106" t="s">
        <v>40</v>
      </c>
      <c r="J6" s="2">
        <v>4</v>
      </c>
      <c r="K6" s="7" t="s">
        <v>14</v>
      </c>
      <c r="L6" s="5"/>
      <c r="M6" s="10">
        <f>'Evaluasi ESP'!N7</f>
        <v>6565</v>
      </c>
      <c r="N6" s="2" t="s">
        <v>8</v>
      </c>
      <c r="O6" s="244"/>
    </row>
    <row r="7" spans="2:16">
      <c r="B7" s="107"/>
      <c r="C7" s="108"/>
      <c r="D7" s="108"/>
      <c r="E7" s="108"/>
      <c r="F7" s="248"/>
      <c r="G7" s="107"/>
      <c r="J7" s="2">
        <v>5</v>
      </c>
      <c r="K7" s="7" t="s">
        <v>18</v>
      </c>
      <c r="L7" s="9"/>
      <c r="M7" s="2">
        <f>'Evaluasi ESP'!N9</f>
        <v>9.625</v>
      </c>
      <c r="N7" s="2" t="s">
        <v>19</v>
      </c>
    </row>
    <row r="8" spans="2:16">
      <c r="J8" s="2">
        <v>6</v>
      </c>
      <c r="K8" s="7" t="s">
        <v>22</v>
      </c>
      <c r="L8" s="9"/>
      <c r="M8" s="46">
        <f>'Evaluasi ESP'!N8</f>
        <v>8.7550000000000008</v>
      </c>
      <c r="N8" s="2" t="s">
        <v>19</v>
      </c>
    </row>
    <row r="9" spans="2:16">
      <c r="B9" s="1" t="s">
        <v>16</v>
      </c>
    </row>
    <row r="10" spans="2:16">
      <c r="B10" s="228" t="s">
        <v>2</v>
      </c>
      <c r="C10" s="1132" t="s">
        <v>3</v>
      </c>
      <c r="D10" s="1132"/>
      <c r="E10" s="1132"/>
      <c r="F10" s="228" t="s">
        <v>4</v>
      </c>
      <c r="G10" s="228" t="s">
        <v>5</v>
      </c>
    </row>
    <row r="11" spans="2:16">
      <c r="B11" s="2">
        <v>1</v>
      </c>
      <c r="C11" s="6" t="s">
        <v>20</v>
      </c>
      <c r="D11" s="7"/>
      <c r="E11" s="5"/>
      <c r="F11" s="2">
        <f>'Evaluasi ESP'!F14</f>
        <v>33</v>
      </c>
      <c r="G11" s="2" t="s">
        <v>21</v>
      </c>
    </row>
    <row r="12" spans="2:16">
      <c r="B12" s="2">
        <v>2</v>
      </c>
      <c r="C12" s="6" t="s">
        <v>23</v>
      </c>
      <c r="D12" s="7"/>
      <c r="E12" s="5"/>
      <c r="F12" s="2">
        <f>'Evaluasi ESP'!F15</f>
        <v>2706</v>
      </c>
      <c r="G12" s="2" t="s">
        <v>24</v>
      </c>
      <c r="J12" s="1" t="s">
        <v>27</v>
      </c>
    </row>
    <row r="13" spans="2:16">
      <c r="B13" s="2">
        <v>3</v>
      </c>
      <c r="C13" s="6" t="s">
        <v>25</v>
      </c>
      <c r="D13" s="7"/>
      <c r="E13" s="5"/>
      <c r="F13" s="2">
        <f>'Evaluasi ESP'!F16</f>
        <v>2739</v>
      </c>
      <c r="G13" s="2" t="s">
        <v>26</v>
      </c>
      <c r="J13" s="246" t="s">
        <v>2</v>
      </c>
      <c r="K13" s="1129" t="s">
        <v>3</v>
      </c>
      <c r="L13" s="1131"/>
      <c r="M13" s="246" t="s">
        <v>4</v>
      </c>
      <c r="N13" s="246" t="s">
        <v>5</v>
      </c>
    </row>
    <row r="14" spans="2:16">
      <c r="B14" s="2">
        <v>4</v>
      </c>
      <c r="C14" s="7" t="s">
        <v>28</v>
      </c>
      <c r="D14" s="9"/>
      <c r="E14" s="5"/>
      <c r="F14" s="47">
        <f>'Evaluasi ESP'!F17</f>
        <v>0.98799999999999999</v>
      </c>
      <c r="G14" s="2"/>
      <c r="J14" s="2">
        <v>1</v>
      </c>
      <c r="K14" s="7" t="s">
        <v>30</v>
      </c>
      <c r="L14" s="5"/>
      <c r="M14" s="2">
        <v>120</v>
      </c>
      <c r="N14" s="2"/>
    </row>
    <row r="15" spans="2:16">
      <c r="B15" s="2">
        <v>5</v>
      </c>
      <c r="C15" s="6" t="s">
        <v>29</v>
      </c>
      <c r="D15" s="7"/>
      <c r="E15" s="5"/>
      <c r="F15" s="10">
        <f>'Evaluasi ESP'!F18</f>
        <v>1327.252865844348</v>
      </c>
      <c r="G15" s="2" t="s">
        <v>8</v>
      </c>
      <c r="I15" s="34"/>
      <c r="J15" s="2">
        <v>2</v>
      </c>
      <c r="K15" s="7" t="s">
        <v>32</v>
      </c>
      <c r="L15" s="5"/>
      <c r="M15" s="2" t="s">
        <v>234</v>
      </c>
      <c r="N15" s="2"/>
    </row>
    <row r="16" spans="2:16">
      <c r="B16" s="2">
        <v>6</v>
      </c>
      <c r="C16" s="6" t="s">
        <v>31</v>
      </c>
      <c r="D16" s="6"/>
      <c r="E16" s="6"/>
      <c r="F16" s="10">
        <f>'Evaluasi ESP'!F19</f>
        <v>2605</v>
      </c>
      <c r="G16" s="2" t="s">
        <v>8</v>
      </c>
      <c r="J16" s="2">
        <v>3</v>
      </c>
      <c r="K16" s="7" t="s">
        <v>34</v>
      </c>
      <c r="L16" s="5"/>
      <c r="M16" s="2">
        <v>80</v>
      </c>
      <c r="N16" s="2" t="s">
        <v>35</v>
      </c>
      <c r="P16" s="13"/>
    </row>
    <row r="17" spans="2:16">
      <c r="B17" s="2">
        <v>7</v>
      </c>
      <c r="C17" s="7" t="s">
        <v>229</v>
      </c>
      <c r="D17" s="9"/>
      <c r="E17" s="5"/>
      <c r="F17" s="16">
        <v>200</v>
      </c>
      <c r="G17" s="2" t="s">
        <v>230</v>
      </c>
      <c r="J17" s="2">
        <v>4</v>
      </c>
      <c r="K17" s="7" t="s">
        <v>42</v>
      </c>
      <c r="L17" s="5"/>
      <c r="M17" s="2">
        <v>60</v>
      </c>
      <c r="N17" s="2" t="s">
        <v>37</v>
      </c>
      <c r="P17" s="13"/>
    </row>
    <row r="18" spans="2:16">
      <c r="B18" s="2">
        <v>8</v>
      </c>
      <c r="C18" s="7" t="s">
        <v>36</v>
      </c>
      <c r="D18" s="9"/>
      <c r="E18" s="5"/>
      <c r="F18" s="2">
        <v>3.5</v>
      </c>
      <c r="G18" s="2" t="s">
        <v>19</v>
      </c>
      <c r="H18" s="205"/>
      <c r="J18" s="2">
        <v>5</v>
      </c>
      <c r="K18" s="6" t="s">
        <v>15</v>
      </c>
      <c r="L18" s="6"/>
      <c r="M18" s="10">
        <v>4097</v>
      </c>
      <c r="N18" s="2" t="s">
        <v>8</v>
      </c>
    </row>
    <row r="19" spans="2:16">
      <c r="B19" s="2">
        <v>9</v>
      </c>
      <c r="C19" s="7" t="s">
        <v>38</v>
      </c>
      <c r="D19" s="9"/>
      <c r="E19" s="5"/>
      <c r="F19" s="2">
        <v>2.992</v>
      </c>
      <c r="G19" s="2" t="s">
        <v>19</v>
      </c>
      <c r="J19" s="2">
        <v>6</v>
      </c>
      <c r="K19" s="1086" t="s">
        <v>237</v>
      </c>
      <c r="L19" s="1086"/>
      <c r="M19" s="2">
        <v>2608</v>
      </c>
      <c r="N19" s="2" t="s">
        <v>8</v>
      </c>
    </row>
    <row r="20" spans="2:16">
      <c r="B20" s="2">
        <v>10</v>
      </c>
      <c r="C20" s="6" t="s">
        <v>228</v>
      </c>
      <c r="D20" s="7"/>
      <c r="E20" s="5"/>
      <c r="F20" s="16">
        <f>'Evaluasi ESP'!F23</f>
        <v>3012</v>
      </c>
      <c r="G20" s="2" t="s">
        <v>8</v>
      </c>
      <c r="J20" s="14"/>
      <c r="K20" s="57"/>
      <c r="L20" s="57"/>
      <c r="M20" s="14"/>
      <c r="N20" s="14"/>
      <c r="O20" s="12"/>
    </row>
    <row r="21" spans="2:16">
      <c r="B21" s="2">
        <v>11</v>
      </c>
      <c r="C21" s="6" t="s">
        <v>33</v>
      </c>
      <c r="D21" s="6"/>
      <c r="E21" s="56"/>
      <c r="F21" s="2">
        <f>'Evaluasi ESP'!F24</f>
        <v>240</v>
      </c>
      <c r="G21" s="2" t="s">
        <v>17</v>
      </c>
      <c r="H21" s="13"/>
      <c r="J21" s="14"/>
      <c r="K21" s="57"/>
      <c r="L21" s="57"/>
      <c r="M21" s="100"/>
      <c r="N21" s="14"/>
      <c r="O21" s="12"/>
    </row>
    <row r="22" spans="2:16">
      <c r="B22" s="251">
        <v>12</v>
      </c>
      <c r="C22" s="1086" t="s">
        <v>235</v>
      </c>
      <c r="D22" s="1086"/>
      <c r="E22" s="1086"/>
      <c r="F22" s="221">
        <v>500</v>
      </c>
      <c r="G22" s="2" t="s">
        <v>17</v>
      </c>
    </row>
    <row r="23" spans="2:16">
      <c r="B23" s="33"/>
      <c r="C23" s="254"/>
      <c r="D23" s="254"/>
      <c r="E23" s="254"/>
      <c r="F23" s="12"/>
      <c r="G23" s="255"/>
    </row>
    <row r="24" spans="2:16">
      <c r="B24" s="229" t="s">
        <v>161</v>
      </c>
      <c r="C24" s="55">
        <f>'Evaluasi ESP'!H32</f>
        <v>1.0103348000000001</v>
      </c>
      <c r="D24" s="56"/>
      <c r="E24" s="229" t="s">
        <v>233</v>
      </c>
      <c r="F24" s="56">
        <v>1050</v>
      </c>
      <c r="G24" s="2" t="s">
        <v>17</v>
      </c>
      <c r="H24" s="229" t="s">
        <v>241</v>
      </c>
      <c r="I24" s="56">
        <v>2132149.3162885942</v>
      </c>
      <c r="J24" s="56" t="s">
        <v>247</v>
      </c>
    </row>
    <row r="25" spans="2:16">
      <c r="B25" s="229" t="s">
        <v>52</v>
      </c>
      <c r="C25" s="55">
        <f>'Evaluasi ESP'!H33</f>
        <v>0.43747496840000005</v>
      </c>
      <c r="D25" s="251" t="s">
        <v>46</v>
      </c>
      <c r="E25" s="229" t="s">
        <v>232</v>
      </c>
      <c r="F25" s="56">
        <v>5752</v>
      </c>
      <c r="G25" s="2" t="s">
        <v>46</v>
      </c>
      <c r="H25" s="56"/>
      <c r="I25" s="56"/>
      <c r="J25" s="56"/>
    </row>
    <row r="26" spans="2:16">
      <c r="B26" s="230" t="s">
        <v>43</v>
      </c>
      <c r="C26" s="17">
        <f>IPR!C2</f>
        <v>2224.4495918367347</v>
      </c>
      <c r="D26" s="251" t="s">
        <v>17</v>
      </c>
      <c r="E26" s="229" t="s">
        <v>238</v>
      </c>
      <c r="F26" s="56">
        <v>0.33</v>
      </c>
      <c r="G26" s="2" t="s">
        <v>61</v>
      </c>
      <c r="H26" s="56"/>
      <c r="I26" s="56"/>
      <c r="J26" s="56"/>
    </row>
    <row r="27" spans="2:16">
      <c r="B27" s="230" t="s">
        <v>44</v>
      </c>
      <c r="C27" s="30">
        <f>IPR!C3</f>
        <v>1665.4672046988003</v>
      </c>
      <c r="D27" s="251" t="s">
        <v>90</v>
      </c>
      <c r="E27" s="229" t="s">
        <v>239</v>
      </c>
      <c r="F27" s="56">
        <v>0.76</v>
      </c>
      <c r="G27" s="56"/>
      <c r="H27" s="56"/>
      <c r="I27" s="56"/>
      <c r="J27" s="56"/>
    </row>
    <row r="28" spans="2:16">
      <c r="B28" s="230" t="s">
        <v>91</v>
      </c>
      <c r="C28" s="17">
        <f>F13/(C26-C27)</f>
        <v>4.8999754965877385</v>
      </c>
      <c r="D28" s="56" t="s">
        <v>92</v>
      </c>
      <c r="E28" s="229" t="s">
        <v>236</v>
      </c>
      <c r="F28" s="56">
        <v>760</v>
      </c>
      <c r="G28" s="2" t="s">
        <v>8</v>
      </c>
      <c r="H28" s="56"/>
      <c r="I28" s="56"/>
      <c r="J28" s="56"/>
    </row>
    <row r="29" spans="2:16">
      <c r="B29" s="230" t="s">
        <v>233</v>
      </c>
      <c r="C29" s="56">
        <v>1050</v>
      </c>
      <c r="D29" s="15" t="s">
        <v>17</v>
      </c>
      <c r="E29" s="229" t="s">
        <v>242</v>
      </c>
      <c r="F29" s="257">
        <f>H30</f>
        <v>116.69366940000002</v>
      </c>
      <c r="G29" s="2" t="s">
        <v>246</v>
      </c>
      <c r="H29" s="56"/>
      <c r="I29" s="56"/>
      <c r="J29" s="56" t="s">
        <v>41</v>
      </c>
    </row>
    <row r="30" spans="2:16">
      <c r="B30" s="36" t="s">
        <v>93</v>
      </c>
      <c r="C30" s="20"/>
      <c r="D30" s="20"/>
      <c r="E30" s="102"/>
      <c r="F30" s="102"/>
      <c r="G30" s="102"/>
      <c r="H30" s="256">
        <f>((350*F14*F4)+(350*(1-F14)*F3))*F26</f>
        <v>116.69366940000002</v>
      </c>
      <c r="I30" s="25" t="s">
        <v>94</v>
      </c>
    </row>
    <row r="31" spans="2:16">
      <c r="B31" s="26"/>
      <c r="C31" s="27"/>
      <c r="D31" s="27"/>
      <c r="E31" s="27"/>
      <c r="F31" s="27"/>
      <c r="G31" s="27"/>
      <c r="H31" s="27"/>
      <c r="I31" s="28"/>
    </row>
    <row r="33" spans="2:36">
      <c r="B33" s="231" t="s">
        <v>95</v>
      </c>
      <c r="C33" s="232" t="s">
        <v>44</v>
      </c>
      <c r="D33" s="232" t="s">
        <v>96</v>
      </c>
      <c r="E33" s="232" t="s">
        <v>236</v>
      </c>
      <c r="F33" s="232" t="s">
        <v>97</v>
      </c>
      <c r="G33" s="232" t="s">
        <v>98</v>
      </c>
      <c r="H33" s="232" t="s">
        <v>99</v>
      </c>
      <c r="I33" s="232" t="s">
        <v>100</v>
      </c>
      <c r="J33" s="232" t="s">
        <v>101</v>
      </c>
      <c r="K33" s="233" t="s">
        <v>102</v>
      </c>
      <c r="L33" s="233" t="s">
        <v>103</v>
      </c>
      <c r="M33" s="233" t="s">
        <v>104</v>
      </c>
      <c r="N33" s="1129" t="s">
        <v>105</v>
      </c>
      <c r="O33" s="1130"/>
      <c r="P33" s="1130"/>
      <c r="Q33" s="1130"/>
      <c r="R33" s="1131"/>
      <c r="T33" s="200"/>
      <c r="U33" s="200"/>
      <c r="V33" s="201"/>
      <c r="W33" s="201"/>
      <c r="X33" s="1128" t="s">
        <v>227</v>
      </c>
      <c r="Y33" s="1128"/>
      <c r="Z33" s="1128"/>
      <c r="AA33" s="1128"/>
      <c r="AB33" s="1128"/>
      <c r="AC33" s="201"/>
      <c r="AD33" s="201"/>
      <c r="AE33" s="201"/>
      <c r="AF33" s="201"/>
      <c r="AG33" s="201"/>
      <c r="AH33" s="14"/>
      <c r="AI33" s="14"/>
      <c r="AJ33" s="14"/>
    </row>
    <row r="34" spans="2:36" ht="15" customHeight="1">
      <c r="B34" s="234" t="s">
        <v>106</v>
      </c>
      <c r="C34" s="235"/>
      <c r="D34" s="235"/>
      <c r="E34" s="235"/>
      <c r="F34" s="235"/>
      <c r="G34" s="235"/>
      <c r="H34" s="235"/>
      <c r="I34" s="235"/>
      <c r="J34" s="235"/>
      <c r="K34" s="235"/>
      <c r="L34" s="235" t="s">
        <v>107</v>
      </c>
      <c r="M34" s="235" t="s">
        <v>108</v>
      </c>
      <c r="N34" s="228">
        <v>100</v>
      </c>
      <c r="O34" s="228">
        <v>120</v>
      </c>
      <c r="P34" s="228">
        <v>146</v>
      </c>
      <c r="Q34" s="228">
        <v>160</v>
      </c>
      <c r="R34" s="228">
        <v>180</v>
      </c>
      <c r="S34" s="14"/>
      <c r="T34" s="201"/>
      <c r="U34" s="202"/>
      <c r="V34" s="201"/>
      <c r="W34" s="201"/>
      <c r="X34" s="1128"/>
      <c r="Y34" s="1128"/>
      <c r="Z34" s="1128"/>
      <c r="AA34" s="1128"/>
      <c r="AB34" s="1128"/>
      <c r="AC34" s="201"/>
      <c r="AD34" s="201"/>
      <c r="AE34" s="201"/>
      <c r="AF34" s="201"/>
      <c r="AG34" s="201"/>
      <c r="AH34" s="14"/>
      <c r="AI34" s="14"/>
      <c r="AJ34" s="14"/>
    </row>
    <row r="35" spans="2:36" ht="15" customHeight="1">
      <c r="B35" s="245">
        <v>5000</v>
      </c>
      <c r="C35" s="17">
        <f>((-0.2+(SQRT(0.04-3.2*(((B35-F$25)/($D$41-F$25))-1))))/1.6)*$C$29</f>
        <v>1194.4849809627494</v>
      </c>
      <c r="D35" s="17">
        <f>C35-(($M$5-$M$18)*$F$26)</f>
        <v>430.53498096274939</v>
      </c>
      <c r="E35" s="17">
        <f>(D35/F$27)*2.31</f>
        <v>1308.5997447683567</v>
      </c>
      <c r="F35" s="17">
        <f>M$19-E35</f>
        <v>1299.4002552316433</v>
      </c>
      <c r="G35" s="17">
        <f>2.083*((100/$M$14)^1.85)*((B35/34.3)^1.85)/$F$19^4.8655</f>
        <v>72.312477053953018</v>
      </c>
      <c r="H35" s="17">
        <f>(G35/1000)*$M$18</f>
        <v>296.26421849004555</v>
      </c>
      <c r="I35" s="17">
        <f>($F$22/$F$27)*2.31</f>
        <v>1519.7368421052631</v>
      </c>
      <c r="J35" s="17">
        <f>F35+H35+I35</f>
        <v>3115.4013158269518</v>
      </c>
      <c r="K35" s="17">
        <f>J35*$F$26</f>
        <v>1028.0824342228941</v>
      </c>
      <c r="L35" s="17">
        <f>D35+K35</f>
        <v>1458.6174151856435</v>
      </c>
      <c r="M35" s="2">
        <v>31</v>
      </c>
      <c r="N35" s="10">
        <f>L35-($F$29*M35/808.3141)*$N$34</f>
        <v>1011.0805292894306</v>
      </c>
      <c r="O35" s="10">
        <f>L35-($F$29*M35/808.3141)*$O$34</f>
        <v>921.57315211018795</v>
      </c>
      <c r="P35" s="10">
        <f>L35-($F$29*M35/808.3141)*$P$34</f>
        <v>805.21356177717257</v>
      </c>
      <c r="Q35" s="10">
        <f>L35-($F$29*M35/808.3141)*$Q$34</f>
        <v>742.55839775170284</v>
      </c>
      <c r="R35" s="10">
        <f>L35-($F$29*M35/808.3141)*$R$34</f>
        <v>653.05102057246017</v>
      </c>
      <c r="S35" s="100"/>
      <c r="T35" s="203"/>
      <c r="U35" s="201"/>
      <c r="V35" s="203"/>
      <c r="W35" s="203"/>
      <c r="X35" s="1128"/>
      <c r="Y35" s="1128"/>
      <c r="Z35" s="1128"/>
      <c r="AA35" s="1128"/>
      <c r="AB35" s="1128"/>
      <c r="AC35" s="203"/>
      <c r="AD35" s="203"/>
      <c r="AE35" s="203"/>
      <c r="AF35" s="203"/>
      <c r="AG35" s="203"/>
      <c r="AH35" s="100"/>
      <c r="AI35" s="100"/>
      <c r="AJ35" s="100"/>
    </row>
    <row r="36" spans="2:36">
      <c r="B36" s="18">
        <v>5500</v>
      </c>
      <c r="C36" s="17">
        <f>((-0.2+(SQRT(0.04-3.2*(((B36-F$25)/($D$41-F$25))-1))))/1.6)*$C$29</f>
        <v>1100.3076960090684</v>
      </c>
      <c r="D36" s="17">
        <f>C36-(($M$5-$M$18)*$F$26)</f>
        <v>336.35769600906838</v>
      </c>
      <c r="E36" s="17">
        <f t="shared" ref="E36:E39" si="0">(D36/F$27)*2.31</f>
        <v>1022.3503655012473</v>
      </c>
      <c r="F36" s="17">
        <f>M$19-E36</f>
        <v>1585.6496344987527</v>
      </c>
      <c r="G36" s="17">
        <f t="shared" ref="G36:G39" si="1">2.083*((100/$M$14)^1.85)*((B36/34.3)^1.85)/$F$19^4.8655</f>
        <v>86.256077765398445</v>
      </c>
      <c r="H36" s="17">
        <f>(G36/1000)*$M$18</f>
        <v>353.39115060483743</v>
      </c>
      <c r="I36" s="17">
        <f t="shared" ref="I36:I39" si="2">($F$22/$F$27)*2.31</f>
        <v>1519.7368421052631</v>
      </c>
      <c r="J36" s="17">
        <f>F36+H36+I36</f>
        <v>3458.7776272088531</v>
      </c>
      <c r="K36" s="17">
        <f>J36*$F$26</f>
        <v>1141.3966169789217</v>
      </c>
      <c r="L36" s="17">
        <f>D36+K36</f>
        <v>1477.75431298799</v>
      </c>
      <c r="M36" s="2">
        <v>29</v>
      </c>
      <c r="N36" s="10">
        <f>L36-($F$29*M36/808.3141)*$N$34</f>
        <v>1059.0907745689522</v>
      </c>
      <c r="O36" s="10">
        <f>L36-($F$29*M36/808.3141)*$O$34</f>
        <v>975.35806688514458</v>
      </c>
      <c r="P36" s="10">
        <f>L36-($F$29*M36/808.3141)*$P$34</f>
        <v>866.50554689619469</v>
      </c>
      <c r="Q36" s="10">
        <f>L36-($F$29*M36/808.3141)*$Q$34</f>
        <v>807.89265151752943</v>
      </c>
      <c r="R36" s="10">
        <f>L36-($F$29*M36/808.3141)*$R$34</f>
        <v>724.15994383372185</v>
      </c>
      <c r="S36" s="100"/>
      <c r="T36" s="203"/>
      <c r="U36" s="203"/>
      <c r="V36" s="203"/>
      <c r="W36" s="203"/>
      <c r="X36" s="203"/>
      <c r="Y36" s="203"/>
      <c r="Z36" s="203"/>
      <c r="AA36" s="203"/>
      <c r="AB36" s="203"/>
      <c r="AC36" s="203"/>
      <c r="AD36" s="203"/>
      <c r="AE36" s="203"/>
      <c r="AF36" s="203"/>
      <c r="AG36" s="203"/>
      <c r="AH36" s="100"/>
      <c r="AI36" s="100"/>
      <c r="AJ36" s="100"/>
    </row>
    <row r="37" spans="2:36">
      <c r="B37" s="253">
        <v>6000</v>
      </c>
      <c r="C37" s="93">
        <f>((-0.2+(SQRT(0.04-3.2*(((B37-F$25)/($D$41-F$25))-1))))/1.6)*$C$29</f>
        <v>998.30543354455529</v>
      </c>
      <c r="D37" s="93">
        <f>C37-(($M$5-$M$18)*$F$26)</f>
        <v>234.35543354455524</v>
      </c>
      <c r="E37" s="93">
        <f>(D37/F$27)*2.31</f>
        <v>712.31717301042443</v>
      </c>
      <c r="F37" s="93">
        <f t="shared" ref="F37:F39" si="3">M$19-E37</f>
        <v>1895.6828269895755</v>
      </c>
      <c r="G37" s="93">
        <f>2.083*((100/$M$14)^1.85)*((B37/34.3)^1.85)/$F$19^4.8655</f>
        <v>101.32078448036485</v>
      </c>
      <c r="H37" s="93">
        <f>(G37/1000)*$M$18</f>
        <v>415.11125401605483</v>
      </c>
      <c r="I37" s="93">
        <f>($F$22/$F$27)*2.31</f>
        <v>1519.7368421052631</v>
      </c>
      <c r="J37" s="93">
        <f>F37+H37+I37</f>
        <v>3830.5309231108931</v>
      </c>
      <c r="K37" s="93">
        <f>J37*$F$26</f>
        <v>1264.0752046265948</v>
      </c>
      <c r="L37" s="93">
        <f>D37+K37</f>
        <v>1498.4306381711499</v>
      </c>
      <c r="M37" s="253">
        <v>26</v>
      </c>
      <c r="N37" s="93">
        <f>L37-($F$29*M37/808.3141)*$N$34</f>
        <v>1123.0771209678746</v>
      </c>
      <c r="O37" s="93">
        <f>L37-($F$29*M37/808.3141)*$O$34</f>
        <v>1048.0064175272196</v>
      </c>
      <c r="P37" s="93">
        <f>L37-($F$29*M37/808.3141)*$P$34</f>
        <v>950.41450305436786</v>
      </c>
      <c r="Q37" s="93">
        <f>L37-($F$29*M37/808.3141)*$Q$34</f>
        <v>897.86501064590925</v>
      </c>
      <c r="R37" s="93">
        <f>L37-($F$29*M37/808.3141)*$R$34</f>
        <v>822.7943072052542</v>
      </c>
      <c r="S37" s="100"/>
      <c r="T37" s="203"/>
      <c r="U37" s="203"/>
      <c r="V37" s="203"/>
      <c r="W37" s="203"/>
      <c r="X37" s="203"/>
      <c r="Y37" s="203"/>
      <c r="Z37" s="203"/>
      <c r="AA37" s="203"/>
      <c r="AB37" s="203"/>
      <c r="AC37" s="203"/>
      <c r="AD37" s="203"/>
      <c r="AE37" s="203"/>
      <c r="AF37" s="203"/>
      <c r="AG37" s="203"/>
      <c r="AH37" s="100"/>
      <c r="AI37" s="100"/>
      <c r="AJ37" s="100"/>
    </row>
    <row r="38" spans="2:36">
      <c r="B38" s="15">
        <v>6500</v>
      </c>
      <c r="C38" s="17">
        <f>((-0.2+(SQRT(0.04-3.2*(((B38-F$25)/($D$41-F$25))-1))))/1.6)*$C$29</f>
        <v>886.12731265292689</v>
      </c>
      <c r="D38" s="17">
        <f>C38-(($M$5-$M$18)*$F$26)</f>
        <v>122.17731265292684</v>
      </c>
      <c r="E38" s="17">
        <f t="shared" si="0"/>
        <v>371.35472661613295</v>
      </c>
      <c r="F38" s="17">
        <f t="shared" si="3"/>
        <v>2236.6452733838669</v>
      </c>
      <c r="G38" s="17">
        <f t="shared" si="1"/>
        <v>117.49203885941853</v>
      </c>
      <c r="H38" s="110">
        <f>(G38/1000)*$M$18</f>
        <v>481.36488320703774</v>
      </c>
      <c r="I38" s="17">
        <f t="shared" si="2"/>
        <v>1519.7368421052631</v>
      </c>
      <c r="J38" s="110">
        <f>F38+H38+I38</f>
        <v>4237.7469986961678</v>
      </c>
      <c r="K38" s="110">
        <f t="shared" ref="K38" si="4">J38*$F$26</f>
        <v>1398.4565095697355</v>
      </c>
      <c r="L38" s="110">
        <f>D38+K38</f>
        <v>1520.6338222226623</v>
      </c>
      <c r="M38" s="15">
        <v>22</v>
      </c>
      <c r="N38" s="10">
        <f>L38-($F$29*M38/808.3141)*$N$34</f>
        <v>1203.026999973737</v>
      </c>
      <c r="O38" s="10">
        <f>L38-($F$29*M38/808.3141)*$O$34</f>
        <v>1139.5056355239519</v>
      </c>
      <c r="P38" s="10">
        <f>L38-($F$29*M38/808.3141)*$P$34</f>
        <v>1056.9278617392313</v>
      </c>
      <c r="Q38" s="10">
        <f>L38-($F$29*M38/808.3141)*$Q$34</f>
        <v>1012.4629066243817</v>
      </c>
      <c r="R38" s="10">
        <f>L38-($F$29*M38/808.3141)*$R$34</f>
        <v>948.94154217459675</v>
      </c>
      <c r="S38" s="100"/>
      <c r="T38" s="203"/>
      <c r="U38" s="203"/>
      <c r="V38" s="203"/>
      <c r="W38" s="203"/>
      <c r="X38" s="203"/>
      <c r="Y38" s="203"/>
      <c r="Z38" s="203"/>
      <c r="AA38" s="203"/>
      <c r="AB38" s="203"/>
      <c r="AC38" s="203"/>
      <c r="AD38" s="203"/>
      <c r="AE38" s="203"/>
      <c r="AF38" s="203"/>
      <c r="AG38" s="203"/>
      <c r="AH38" s="100"/>
      <c r="AI38" s="100"/>
      <c r="AJ38" s="100"/>
    </row>
    <row r="39" spans="2:36">
      <c r="B39" s="15">
        <v>6800</v>
      </c>
      <c r="C39" s="17">
        <f>((-0.2+(SQRT(0.04-3.2*(((B39-F$25)/($D$41-F$25))-1))))/1.6)*$C$29</f>
        <v>812.44129889567648</v>
      </c>
      <c r="D39" s="17">
        <f>C39-(($M$5-$M$18)*$F$26)</f>
        <v>48.491298895676437</v>
      </c>
      <c r="E39" s="17">
        <f t="shared" si="0"/>
        <v>147.38802690659548</v>
      </c>
      <c r="F39" s="17">
        <f t="shared" si="3"/>
        <v>2460.6119730934047</v>
      </c>
      <c r="G39" s="17">
        <f t="shared" si="1"/>
        <v>127.7203849899319</v>
      </c>
      <c r="H39" s="110">
        <f>(G39/1000)*$M$18</f>
        <v>523.27041730375106</v>
      </c>
      <c r="I39" s="17">
        <f t="shared" si="2"/>
        <v>1519.7368421052631</v>
      </c>
      <c r="J39" s="110">
        <f>F39+H39+I39</f>
        <v>4503.6192325024185</v>
      </c>
      <c r="K39" s="110">
        <f>J39*$F$26</f>
        <v>1486.1943467257981</v>
      </c>
      <c r="L39" s="110">
        <f>D39+K39</f>
        <v>1534.6856456214746</v>
      </c>
      <c r="M39" s="15">
        <v>20</v>
      </c>
      <c r="N39" s="10">
        <f>L39-($F$29*M39/808.3141)*$N$34</f>
        <v>1245.9521708497243</v>
      </c>
      <c r="O39" s="10">
        <f>L39-($F$29*M39/808.3141)*$O$34</f>
        <v>1188.2054758953743</v>
      </c>
      <c r="P39" s="10">
        <f>L39-($F$29*M39/808.3141)*$P$34</f>
        <v>1113.1347724547193</v>
      </c>
      <c r="Q39" s="10">
        <f>L39-($F$29*M39/808.3141)*$Q$34</f>
        <v>1072.7120859866741</v>
      </c>
      <c r="R39" s="10">
        <f>L39-($F$29*M39/808.3141)*$R$34</f>
        <v>1014.9653910323241</v>
      </c>
      <c r="S39" s="100"/>
      <c r="T39" s="200"/>
      <c r="U39" s="200"/>
      <c r="V39" s="200"/>
      <c r="W39" s="200"/>
      <c r="X39" s="200"/>
      <c r="Y39" s="200"/>
      <c r="Z39" s="200"/>
      <c r="AA39" s="200"/>
      <c r="AB39" s="200"/>
      <c r="AC39" s="200"/>
      <c r="AD39" s="200"/>
      <c r="AE39" s="200"/>
      <c r="AF39" s="200"/>
      <c r="AG39" s="200"/>
      <c r="AH39" s="100"/>
      <c r="AI39" s="100"/>
      <c r="AJ39" s="100"/>
    </row>
    <row r="40" spans="2:36">
      <c r="S40" s="200"/>
      <c r="T40" s="200"/>
      <c r="U40" s="200"/>
      <c r="V40" s="200"/>
      <c r="W40" s="200"/>
      <c r="X40" s="200"/>
      <c r="Y40" s="200"/>
      <c r="Z40" s="200"/>
      <c r="AA40" s="200"/>
      <c r="AB40" s="200"/>
      <c r="AC40" s="200"/>
      <c r="AD40" s="200"/>
      <c r="AE40" s="200"/>
      <c r="AF40" s="200"/>
    </row>
    <row r="41" spans="2:36" ht="15.75">
      <c r="B41" s="236" t="s">
        <v>89</v>
      </c>
      <c r="C41" s="237"/>
      <c r="D41" s="60">
        <f>IPR!C8</f>
        <v>8613.093261653652</v>
      </c>
      <c r="E41" s="61" t="s">
        <v>46</v>
      </c>
      <c r="F41" s="100"/>
      <c r="S41" s="200"/>
      <c r="T41" s="200"/>
      <c r="U41" s="200"/>
      <c r="V41" s="200"/>
      <c r="W41" s="200"/>
      <c r="X41" s="200"/>
      <c r="Y41" s="200"/>
      <c r="Z41" s="200"/>
      <c r="AA41" s="200"/>
      <c r="AB41" s="200"/>
      <c r="AC41" s="200"/>
      <c r="AD41" s="200"/>
      <c r="AE41" s="200"/>
      <c r="AF41" s="200"/>
    </row>
    <row r="42" spans="2:36" ht="15.75">
      <c r="B42" s="236" t="s">
        <v>109</v>
      </c>
      <c r="C42" s="237"/>
      <c r="D42" s="60">
        <f>70/100*D41</f>
        <v>6029.1652831575557</v>
      </c>
      <c r="E42" s="61" t="s">
        <v>46</v>
      </c>
      <c r="G42" s="240"/>
      <c r="H42" s="240"/>
      <c r="I42" s="240"/>
      <c r="J42" s="240"/>
      <c r="K42" s="240"/>
      <c r="L42" s="240"/>
      <c r="M42" s="240"/>
      <c r="N42" s="240"/>
      <c r="O42" s="240"/>
      <c r="P42" s="240"/>
      <c r="Q42" s="240"/>
      <c r="S42" s="200"/>
      <c r="T42" s="200"/>
      <c r="U42" s="200"/>
      <c r="V42" s="200"/>
      <c r="W42" s="200"/>
      <c r="X42" s="200"/>
      <c r="Y42" s="200"/>
      <c r="Z42" s="200"/>
      <c r="AA42" s="200"/>
      <c r="AB42" s="200"/>
      <c r="AC42" s="200"/>
      <c r="AD42" s="200"/>
      <c r="AE42" s="200"/>
      <c r="AF42" s="200"/>
    </row>
    <row r="43" spans="2:36" ht="15.75">
      <c r="B43" s="236" t="s">
        <v>110</v>
      </c>
      <c r="C43" s="237"/>
      <c r="D43" s="83">
        <v>6000</v>
      </c>
      <c r="E43" s="61" t="s">
        <v>46</v>
      </c>
      <c r="G43" s="240"/>
      <c r="H43" s="240"/>
      <c r="I43" s="240"/>
      <c r="J43" s="240"/>
      <c r="K43" s="240"/>
      <c r="L43" s="240"/>
      <c r="M43" s="240"/>
      <c r="N43" s="240"/>
      <c r="O43" s="240"/>
      <c r="P43" s="240"/>
      <c r="Q43" s="240"/>
      <c r="S43" s="200"/>
      <c r="T43" s="200"/>
      <c r="U43" s="200"/>
      <c r="V43" s="200"/>
      <c r="W43" s="200"/>
      <c r="X43" s="200"/>
      <c r="Y43" s="200"/>
      <c r="Z43" s="200"/>
      <c r="AA43" s="200"/>
      <c r="AB43" s="200"/>
      <c r="AC43" s="200"/>
      <c r="AD43" s="200"/>
      <c r="AE43" s="200"/>
      <c r="AF43" s="200"/>
    </row>
    <row r="44" spans="2:36" ht="15.75">
      <c r="B44" s="236" t="s">
        <v>111</v>
      </c>
      <c r="C44" s="237"/>
      <c r="D44" s="60">
        <v>997.97</v>
      </c>
      <c r="E44" s="143" t="s">
        <v>90</v>
      </c>
      <c r="F44" s="144"/>
      <c r="G44" s="240"/>
      <c r="H44" s="240"/>
      <c r="I44" s="240"/>
      <c r="J44" s="240"/>
      <c r="K44" s="240"/>
      <c r="L44" s="240"/>
      <c r="M44" s="240"/>
      <c r="N44" s="240"/>
      <c r="O44" s="240"/>
      <c r="P44" s="240"/>
      <c r="Q44" s="240"/>
      <c r="S44" s="200"/>
      <c r="T44" s="200"/>
      <c r="U44" s="200"/>
      <c r="V44" s="200"/>
      <c r="W44" s="200"/>
      <c r="X44" s="200"/>
      <c r="Y44" s="200"/>
      <c r="Z44" s="200"/>
      <c r="AA44" s="200"/>
      <c r="AB44" s="200"/>
      <c r="AC44" s="200"/>
      <c r="AD44" s="200"/>
      <c r="AE44" s="200"/>
      <c r="AF44" s="200"/>
    </row>
    <row r="45" spans="2:36" ht="15.75">
      <c r="B45" s="236" t="s">
        <v>91</v>
      </c>
      <c r="C45" s="238"/>
      <c r="D45" s="135">
        <f>D43/(C26-D44)</f>
        <v>4.8920504180706352</v>
      </c>
      <c r="E45" s="145" t="s">
        <v>163</v>
      </c>
      <c r="G45" s="240"/>
      <c r="H45" s="240"/>
      <c r="I45" s="240"/>
      <c r="J45" s="240"/>
      <c r="K45" s="240"/>
      <c r="L45" s="240"/>
      <c r="M45" s="240"/>
      <c r="N45" s="240"/>
      <c r="O45" s="240"/>
      <c r="P45" s="240"/>
      <c r="Q45" s="240"/>
      <c r="S45" s="200"/>
      <c r="T45" s="200"/>
      <c r="U45" s="200"/>
      <c r="V45" s="200"/>
      <c r="W45" s="200"/>
      <c r="X45" s="200"/>
      <c r="Y45" s="200"/>
      <c r="Z45" s="200"/>
      <c r="AA45" s="200"/>
      <c r="AB45" s="200"/>
      <c r="AC45" s="200"/>
      <c r="AD45" s="200"/>
      <c r="AE45" s="200"/>
      <c r="AF45" s="200"/>
    </row>
    <row r="46" spans="2:36" ht="15.75">
      <c r="B46" s="239" t="s">
        <v>112</v>
      </c>
      <c r="C46" s="229"/>
      <c r="D46" s="81">
        <v>146</v>
      </c>
      <c r="E46" s="61" t="s">
        <v>35</v>
      </c>
      <c r="F46" s="133"/>
      <c r="G46" s="240"/>
      <c r="H46" s="240"/>
      <c r="I46" s="240"/>
      <c r="J46" s="240"/>
      <c r="K46" s="240"/>
      <c r="L46" s="240"/>
      <c r="M46" s="240"/>
      <c r="N46" s="240"/>
      <c r="O46" s="240"/>
      <c r="P46" s="240"/>
      <c r="Q46" s="240"/>
      <c r="S46" s="200"/>
      <c r="T46" s="200"/>
      <c r="U46" s="200"/>
      <c r="V46" s="200"/>
      <c r="W46" s="200"/>
      <c r="X46" s="200"/>
      <c r="Y46" s="200"/>
      <c r="Z46" s="200"/>
      <c r="AA46" s="200"/>
      <c r="AB46" s="200"/>
      <c r="AC46" s="200"/>
      <c r="AD46" s="200"/>
      <c r="AE46" s="200"/>
      <c r="AF46" s="200"/>
    </row>
    <row r="47" spans="2:36" ht="15.75">
      <c r="B47" s="239" t="s">
        <v>113</v>
      </c>
      <c r="C47" s="229"/>
      <c r="D47" s="81">
        <v>1.62</v>
      </c>
      <c r="E47" s="65" t="s">
        <v>226</v>
      </c>
      <c r="F47" s="134"/>
      <c r="G47" s="240"/>
      <c r="H47" s="240"/>
      <c r="I47" s="240"/>
      <c r="J47" s="240"/>
      <c r="K47" s="240"/>
      <c r="L47" s="240"/>
      <c r="M47" s="240"/>
      <c r="N47" s="240"/>
      <c r="O47" s="240"/>
      <c r="P47" s="240"/>
      <c r="Q47" s="240"/>
      <c r="S47" s="200"/>
      <c r="T47" s="200"/>
      <c r="U47" s="200"/>
      <c r="V47" s="200"/>
      <c r="W47" s="200"/>
      <c r="X47" s="200"/>
      <c r="Y47" s="200"/>
      <c r="Z47" s="200"/>
      <c r="AA47" s="200"/>
      <c r="AB47" s="200"/>
      <c r="AC47" s="200"/>
      <c r="AD47" s="200"/>
      <c r="AE47" s="200"/>
      <c r="AF47" s="200"/>
    </row>
    <row r="48" spans="2:36" ht="15.75">
      <c r="B48" s="236" t="s">
        <v>155</v>
      </c>
      <c r="C48" s="237"/>
      <c r="D48" s="82">
        <f>D47*D46</f>
        <v>236.52</v>
      </c>
      <c r="E48" s="61" t="s">
        <v>87</v>
      </c>
      <c r="G48" s="241"/>
      <c r="H48" s="240"/>
      <c r="I48" s="240"/>
      <c r="J48" s="240"/>
      <c r="K48" s="240"/>
      <c r="L48" s="240"/>
      <c r="M48" s="240"/>
      <c r="N48" s="240"/>
      <c r="O48" s="240"/>
      <c r="P48" s="240"/>
      <c r="Q48" s="240"/>
      <c r="S48" s="200"/>
      <c r="T48" s="200"/>
      <c r="U48" s="200"/>
      <c r="V48" s="200"/>
      <c r="W48" s="200"/>
      <c r="X48" s="200"/>
      <c r="Y48" s="200"/>
      <c r="Z48" s="200"/>
      <c r="AA48" s="200"/>
      <c r="AB48" s="200"/>
      <c r="AC48" s="200"/>
      <c r="AD48" s="200"/>
      <c r="AE48" s="200"/>
      <c r="AF48" s="200"/>
    </row>
    <row r="49" spans="2:32" ht="15.75">
      <c r="B49" s="236" t="s">
        <v>115</v>
      </c>
      <c r="C49" s="237"/>
      <c r="D49" s="109">
        <v>0.71499999999999997</v>
      </c>
      <c r="E49" s="61" t="s">
        <v>88</v>
      </c>
      <c r="G49" s="240"/>
      <c r="H49" s="240"/>
      <c r="I49" s="240"/>
      <c r="J49" s="240"/>
      <c r="K49" s="240"/>
      <c r="L49" s="240"/>
      <c r="M49" s="240"/>
      <c r="N49" s="240"/>
      <c r="O49" s="240"/>
      <c r="P49" s="240"/>
      <c r="Q49" s="240"/>
      <c r="S49" s="200"/>
      <c r="T49" s="200"/>
      <c r="U49" s="200"/>
      <c r="V49" s="200"/>
      <c r="W49" s="200"/>
      <c r="X49" s="200"/>
      <c r="Y49" s="200"/>
      <c r="Z49" s="200"/>
      <c r="AA49" s="200"/>
      <c r="AB49" s="200"/>
      <c r="AC49" s="200"/>
      <c r="AD49" s="200"/>
      <c r="AE49" s="200"/>
      <c r="AF49" s="200"/>
    </row>
    <row r="50" spans="2:32">
      <c r="G50" s="240"/>
      <c r="H50" s="240"/>
      <c r="I50" s="240"/>
      <c r="J50" s="240"/>
      <c r="K50" s="240"/>
      <c r="L50" s="240"/>
      <c r="M50" s="240"/>
      <c r="N50" s="240"/>
      <c r="O50" s="240"/>
      <c r="P50" s="240"/>
      <c r="Q50" s="240"/>
      <c r="S50" s="200"/>
      <c r="T50" s="200"/>
      <c r="U50" s="200"/>
      <c r="V50" s="200"/>
      <c r="W50" s="200"/>
      <c r="X50" s="200"/>
      <c r="Y50" s="200"/>
      <c r="Z50" s="200"/>
      <c r="AA50" s="200"/>
      <c r="AB50" s="200"/>
      <c r="AC50" s="200"/>
      <c r="AD50" s="200"/>
      <c r="AE50" s="200"/>
      <c r="AF50" s="200"/>
    </row>
    <row r="51" spans="2:32" ht="15.75">
      <c r="B51" s="142"/>
      <c r="C51" s="142"/>
      <c r="D51" s="142"/>
      <c r="E51" s="142"/>
      <c r="F51" s="142"/>
      <c r="G51" s="240"/>
      <c r="H51" s="240"/>
      <c r="I51" s="240"/>
      <c r="J51" s="240"/>
      <c r="K51" s="240"/>
      <c r="L51" s="240"/>
      <c r="M51" s="240"/>
      <c r="N51" s="240"/>
      <c r="O51" s="240"/>
      <c r="P51" s="240"/>
      <c r="Q51" s="240"/>
      <c r="S51" s="200"/>
      <c r="T51" s="200"/>
      <c r="U51" s="200"/>
      <c r="V51" s="200"/>
      <c r="W51" s="200"/>
      <c r="X51" s="200"/>
      <c r="Y51" s="200"/>
      <c r="Z51" s="200"/>
      <c r="AA51" s="200"/>
      <c r="AB51" s="200"/>
      <c r="AC51" s="200"/>
      <c r="AD51" s="200"/>
      <c r="AE51" s="200"/>
      <c r="AF51" s="200"/>
    </row>
    <row r="52" spans="2:32" ht="15.75">
      <c r="B52" s="138"/>
      <c r="C52" s="57"/>
      <c r="D52" s="57"/>
      <c r="E52" s="139"/>
      <c r="F52" s="141"/>
      <c r="G52" s="240"/>
      <c r="H52" s="240"/>
      <c r="I52" s="240"/>
      <c r="J52" s="240"/>
      <c r="K52" s="240"/>
      <c r="L52" s="240"/>
      <c r="M52" s="240"/>
      <c r="N52" s="240"/>
      <c r="O52" s="240"/>
      <c r="P52" s="240"/>
      <c r="Q52" s="240"/>
      <c r="S52" s="200"/>
      <c r="T52" s="200"/>
      <c r="U52" s="200"/>
      <c r="V52" s="200"/>
      <c r="W52" s="200"/>
      <c r="X52" s="200"/>
      <c r="Y52" s="200"/>
      <c r="Z52" s="200"/>
      <c r="AA52" s="200"/>
      <c r="AB52" s="200"/>
      <c r="AC52" s="200"/>
      <c r="AD52" s="200"/>
      <c r="AE52" s="200"/>
      <c r="AF52" s="200"/>
    </row>
    <row r="53" spans="2:32" ht="15.75">
      <c r="B53" s="138"/>
      <c r="C53" s="57"/>
      <c r="D53" s="57"/>
      <c r="E53" s="139"/>
      <c r="F53" s="141"/>
      <c r="G53" s="242"/>
      <c r="H53" s="240"/>
      <c r="I53" s="240"/>
      <c r="J53" s="240"/>
      <c r="K53" s="240"/>
      <c r="L53" s="240"/>
      <c r="M53" s="240"/>
      <c r="N53" s="240"/>
      <c r="O53" s="240"/>
      <c r="P53" s="240"/>
      <c r="Q53" s="240"/>
      <c r="S53" s="200"/>
      <c r="T53" s="200"/>
      <c r="U53" s="200"/>
      <c r="V53" s="200"/>
      <c r="W53" s="200"/>
      <c r="X53" s="200"/>
      <c r="Y53" s="200"/>
      <c r="Z53" s="200"/>
      <c r="AA53" s="200"/>
      <c r="AB53" s="200"/>
      <c r="AC53" s="200"/>
      <c r="AD53" s="200"/>
      <c r="AE53" s="200"/>
      <c r="AF53" s="200"/>
    </row>
    <row r="54" spans="2:32" ht="15.75">
      <c r="B54" s="138"/>
      <c r="C54" s="57"/>
      <c r="D54" s="57"/>
      <c r="E54" s="136"/>
      <c r="F54" s="137"/>
      <c r="G54" s="242"/>
      <c r="H54" s="240"/>
      <c r="I54" s="240"/>
      <c r="J54" s="240"/>
      <c r="K54" s="240"/>
      <c r="L54" s="240"/>
      <c r="M54" s="240"/>
      <c r="N54" s="240"/>
      <c r="O54" s="240"/>
      <c r="P54" s="240"/>
      <c r="Q54" s="240"/>
      <c r="S54" s="200"/>
      <c r="T54" s="200"/>
      <c r="U54" s="200"/>
      <c r="V54" s="200"/>
      <c r="W54" s="200"/>
      <c r="X54" s="200"/>
      <c r="Y54" s="200"/>
      <c r="Z54" s="200"/>
      <c r="AA54" s="200"/>
      <c r="AB54" s="200"/>
      <c r="AC54" s="200"/>
      <c r="AD54" s="200"/>
      <c r="AE54" s="200"/>
      <c r="AF54" s="200"/>
    </row>
    <row r="55" spans="2:32" ht="15.75">
      <c r="B55" s="138"/>
      <c r="C55" s="57"/>
      <c r="D55" s="57"/>
      <c r="E55" s="137"/>
      <c r="F55" s="137"/>
      <c r="G55" s="242"/>
      <c r="H55" s="240"/>
      <c r="I55" s="240"/>
      <c r="J55" s="240"/>
      <c r="K55" s="240"/>
      <c r="L55" s="240"/>
      <c r="M55" s="240"/>
      <c r="N55" s="240"/>
      <c r="O55" s="240"/>
      <c r="P55" s="240"/>
      <c r="Q55" s="240"/>
      <c r="S55" s="200"/>
      <c r="T55" s="200"/>
      <c r="U55" s="200"/>
      <c r="V55" s="200"/>
      <c r="W55" s="200"/>
      <c r="X55" s="200"/>
      <c r="Y55" s="200"/>
      <c r="Z55" s="200"/>
      <c r="AA55" s="200"/>
      <c r="AB55" s="200"/>
      <c r="AC55" s="200"/>
      <c r="AD55" s="200"/>
      <c r="AE55" s="200"/>
      <c r="AF55" s="200"/>
    </row>
    <row r="56" spans="2:32" ht="15.75">
      <c r="B56" s="138"/>
      <c r="C56" s="57"/>
      <c r="D56" s="57"/>
      <c r="E56" s="136"/>
      <c r="F56" s="137"/>
      <c r="G56" s="242"/>
      <c r="H56" s="240"/>
      <c r="I56" s="240"/>
      <c r="J56" s="240"/>
      <c r="K56" s="240"/>
      <c r="L56" s="240"/>
      <c r="M56" s="240"/>
      <c r="N56" s="240"/>
      <c r="O56" s="240"/>
      <c r="P56" s="240"/>
      <c r="Q56" s="240"/>
      <c r="S56" s="200"/>
      <c r="T56" s="200"/>
      <c r="U56" s="200"/>
      <c r="V56" s="200"/>
      <c r="W56" s="200"/>
      <c r="X56" s="200"/>
      <c r="Y56" s="200"/>
      <c r="Z56" s="200"/>
      <c r="AA56" s="200"/>
      <c r="AB56" s="200"/>
      <c r="AC56" s="200"/>
      <c r="AD56" s="200"/>
      <c r="AE56" s="200"/>
      <c r="AF56" s="200"/>
    </row>
    <row r="57" spans="2:32" ht="15.75">
      <c r="B57" s="138"/>
      <c r="C57" s="57"/>
      <c r="D57" s="57"/>
      <c r="E57" s="136"/>
      <c r="F57" s="137"/>
      <c r="G57" s="242"/>
      <c r="H57" s="240"/>
      <c r="I57" s="240"/>
      <c r="J57" s="240"/>
      <c r="K57" s="240"/>
      <c r="L57" s="240"/>
      <c r="M57" s="240"/>
      <c r="N57" s="240"/>
      <c r="O57" s="240"/>
      <c r="P57" s="240"/>
      <c r="Q57" s="240"/>
      <c r="S57" s="200"/>
      <c r="T57" s="200"/>
      <c r="U57" s="200"/>
      <c r="V57" s="200"/>
      <c r="W57" s="200"/>
      <c r="X57" s="200"/>
      <c r="Y57" s="200"/>
      <c r="Z57" s="200"/>
      <c r="AA57" s="200"/>
      <c r="AB57" s="200"/>
      <c r="AC57" s="200"/>
      <c r="AD57" s="200"/>
      <c r="AE57" s="200"/>
      <c r="AF57" s="200"/>
    </row>
    <row r="58" spans="2:32" ht="15.75">
      <c r="B58" s="138"/>
      <c r="C58" s="845"/>
      <c r="D58" s="57"/>
      <c r="E58" s="136"/>
      <c r="F58" s="137"/>
      <c r="G58" s="242"/>
      <c r="H58" s="240"/>
      <c r="I58" s="240"/>
      <c r="J58" s="240"/>
      <c r="K58" s="240"/>
      <c r="L58" s="240"/>
      <c r="M58" s="240"/>
      <c r="N58" s="240"/>
      <c r="O58" s="240"/>
      <c r="P58" s="240"/>
      <c r="Q58" s="240"/>
      <c r="S58" s="200"/>
      <c r="T58" s="200"/>
      <c r="U58" s="200"/>
      <c r="V58" s="200"/>
      <c r="W58" s="200"/>
      <c r="X58" s="200"/>
      <c r="Y58" s="200"/>
      <c r="Z58" s="200"/>
      <c r="AA58" s="200"/>
      <c r="AB58" s="200"/>
      <c r="AC58" s="200"/>
      <c r="AD58" s="200"/>
      <c r="AE58" s="200"/>
      <c r="AF58" s="200"/>
    </row>
    <row r="59" spans="2:32" ht="15.75">
      <c r="B59" s="138"/>
      <c r="C59" s="57"/>
      <c r="D59" s="57"/>
      <c r="E59" s="136"/>
      <c r="F59" s="137"/>
      <c r="G59" s="242"/>
      <c r="H59" s="240"/>
      <c r="I59" s="240"/>
      <c r="J59" s="240"/>
      <c r="K59" s="240"/>
      <c r="L59" s="240"/>
      <c r="M59" s="240"/>
      <c r="N59" s="240"/>
      <c r="O59" s="240"/>
      <c r="P59" s="240"/>
      <c r="Q59" s="240"/>
      <c r="S59" s="200"/>
      <c r="T59" s="200"/>
      <c r="U59" s="200"/>
      <c r="V59" s="200"/>
      <c r="W59" s="200"/>
      <c r="X59" s="200"/>
      <c r="Y59" s="200"/>
      <c r="Z59" s="200"/>
      <c r="AA59" s="200"/>
      <c r="AB59" s="200"/>
      <c r="AC59" s="200"/>
      <c r="AD59" s="200"/>
      <c r="AE59" s="200"/>
      <c r="AF59" s="200"/>
    </row>
    <row r="60" spans="2:32" ht="15.75">
      <c r="B60" s="138"/>
      <c r="C60" s="57"/>
      <c r="D60" s="57"/>
      <c r="E60" s="136"/>
      <c r="F60" s="137"/>
      <c r="G60" s="242"/>
      <c r="H60" s="240"/>
      <c r="I60" s="240"/>
      <c r="J60" s="240"/>
      <c r="K60" s="240"/>
      <c r="L60" s="240"/>
      <c r="M60" s="240"/>
      <c r="N60" s="240"/>
      <c r="O60" s="240"/>
      <c r="P60" s="240"/>
      <c r="Q60" s="240"/>
      <c r="S60" s="200"/>
      <c r="T60" s="200"/>
      <c r="U60" s="200"/>
      <c r="V60" s="200"/>
      <c r="W60" s="200"/>
      <c r="X60" s="200"/>
      <c r="Y60" s="200"/>
      <c r="Z60" s="200"/>
      <c r="AA60" s="200"/>
      <c r="AB60" s="200"/>
      <c r="AC60" s="200"/>
      <c r="AD60" s="200"/>
      <c r="AE60" s="200"/>
      <c r="AF60" s="200"/>
    </row>
    <row r="61" spans="2:32" ht="15.75">
      <c r="B61" s="138"/>
      <c r="C61" s="57"/>
      <c r="D61" s="57"/>
      <c r="E61" s="136"/>
      <c r="F61" s="137"/>
      <c r="G61" s="242"/>
      <c r="H61" s="240"/>
      <c r="I61" s="240"/>
      <c r="J61" s="240"/>
      <c r="K61" s="240"/>
      <c r="L61" s="240"/>
      <c r="M61" s="240"/>
      <c r="N61" s="240"/>
      <c r="O61" s="240"/>
      <c r="P61" s="240"/>
      <c r="Q61" s="240"/>
      <c r="S61" s="200"/>
      <c r="T61" s="200"/>
      <c r="U61" s="200"/>
      <c r="V61" s="200"/>
      <c r="W61" s="200"/>
      <c r="X61" s="200"/>
      <c r="Y61" s="200"/>
      <c r="Z61" s="200"/>
      <c r="AA61" s="200"/>
      <c r="AB61" s="200"/>
      <c r="AC61" s="200"/>
      <c r="AD61" s="200"/>
      <c r="AE61" s="200"/>
      <c r="AF61" s="200"/>
    </row>
    <row r="62" spans="2:32" ht="15.75">
      <c r="B62" s="138"/>
      <c r="C62" s="57"/>
      <c r="E62" s="136"/>
      <c r="F62" s="137"/>
      <c r="G62" s="242"/>
      <c r="H62" s="240"/>
      <c r="I62" s="240"/>
      <c r="J62" s="240"/>
      <c r="K62" s="240"/>
      <c r="L62" s="240"/>
      <c r="M62" s="240"/>
      <c r="N62" s="240"/>
      <c r="O62" s="240"/>
      <c r="P62" s="240"/>
      <c r="Q62" s="240"/>
      <c r="S62" s="200"/>
      <c r="T62" s="200"/>
      <c r="U62" s="200"/>
      <c r="V62" s="200"/>
      <c r="W62" s="200"/>
      <c r="X62" s="200"/>
      <c r="Y62" s="200"/>
      <c r="Z62" s="200"/>
      <c r="AA62" s="200"/>
      <c r="AB62" s="200"/>
      <c r="AC62" s="200"/>
      <c r="AD62" s="200"/>
      <c r="AE62" s="200"/>
      <c r="AF62" s="200"/>
    </row>
    <row r="63" spans="2:32" ht="15.75">
      <c r="B63" s="138"/>
      <c r="C63" s="57"/>
      <c r="D63" s="57"/>
      <c r="E63" s="137"/>
      <c r="F63" s="137"/>
      <c r="G63" s="242"/>
      <c r="H63" s="240"/>
      <c r="I63" s="240"/>
      <c r="J63" s="240"/>
      <c r="K63" s="240"/>
      <c r="L63" s="240"/>
      <c r="M63" s="240"/>
      <c r="N63" s="240"/>
      <c r="O63" s="240"/>
      <c r="P63" s="240"/>
      <c r="Q63" s="240"/>
      <c r="S63" s="200"/>
      <c r="T63" s="200"/>
      <c r="U63" s="200"/>
      <c r="V63" s="200"/>
      <c r="W63" s="200"/>
      <c r="X63" s="200"/>
      <c r="Y63" s="200"/>
      <c r="Z63" s="200"/>
      <c r="AA63" s="200"/>
      <c r="AB63" s="200"/>
      <c r="AC63" s="200"/>
      <c r="AD63" s="200"/>
      <c r="AE63" s="200"/>
      <c r="AF63" s="200"/>
    </row>
    <row r="64" spans="2:32" ht="15.75">
      <c r="B64" s="138"/>
      <c r="C64" s="57"/>
      <c r="D64" s="57"/>
      <c r="E64" s="137"/>
      <c r="F64" s="137"/>
      <c r="G64" s="242"/>
      <c r="H64" s="240"/>
      <c r="I64" s="240"/>
      <c r="J64" s="240"/>
      <c r="K64" s="240"/>
      <c r="L64" s="240"/>
      <c r="M64" s="240"/>
      <c r="N64" s="240"/>
      <c r="O64" s="240"/>
      <c r="P64" s="240"/>
      <c r="Q64" s="240"/>
      <c r="S64" s="200"/>
      <c r="T64" s="204"/>
      <c r="U64" s="200"/>
      <c r="V64" s="200"/>
      <c r="W64" s="200"/>
      <c r="X64" s="200"/>
      <c r="Y64" s="200"/>
      <c r="Z64" s="200"/>
      <c r="AA64" s="200"/>
      <c r="AB64" s="200"/>
      <c r="AC64" s="200"/>
      <c r="AD64" s="200"/>
      <c r="AE64" s="200"/>
      <c r="AF64" s="200"/>
    </row>
    <row r="65" spans="2:32" ht="15.75">
      <c r="B65" s="138"/>
      <c r="C65" s="57"/>
      <c r="D65" s="57"/>
      <c r="E65" s="136"/>
      <c r="F65" s="137"/>
      <c r="G65" s="242"/>
      <c r="H65" s="240"/>
      <c r="I65" s="240"/>
      <c r="J65" s="240"/>
      <c r="K65" s="240"/>
      <c r="L65" s="240"/>
      <c r="M65" s="240"/>
      <c r="N65" s="240"/>
      <c r="O65" s="240"/>
      <c r="P65" s="240"/>
      <c r="Q65" s="240"/>
      <c r="S65" s="200"/>
      <c r="T65" s="200"/>
      <c r="U65" s="200"/>
      <c r="V65" s="200"/>
      <c r="W65" s="200"/>
      <c r="X65" s="200"/>
      <c r="Y65" s="200"/>
      <c r="Z65" s="200"/>
      <c r="AA65" s="200"/>
      <c r="AB65" s="200"/>
      <c r="AC65" s="200"/>
      <c r="AD65" s="200"/>
      <c r="AE65" s="200"/>
      <c r="AF65" s="200"/>
    </row>
    <row r="66" spans="2:32" ht="15.75">
      <c r="B66" s="138"/>
      <c r="C66" s="57"/>
      <c r="D66" s="57"/>
      <c r="E66" s="136"/>
      <c r="F66" s="137"/>
      <c r="G66" s="140"/>
    </row>
    <row r="67" spans="2:32" ht="15.75">
      <c r="B67" s="138"/>
      <c r="C67" s="57"/>
      <c r="D67" s="57"/>
      <c r="E67" s="137"/>
      <c r="F67" s="137"/>
      <c r="G67" s="140"/>
      <c r="S67" s="99"/>
      <c r="T67" s="99"/>
      <c r="U67" s="99"/>
      <c r="V67" s="99"/>
      <c r="W67" s="99"/>
      <c r="X67" s="99"/>
      <c r="Y67" s="99"/>
      <c r="Z67" s="99"/>
      <c r="AA67" s="99"/>
      <c r="AB67" s="99"/>
      <c r="AC67" s="99"/>
      <c r="AD67" s="99"/>
      <c r="AE67" s="99"/>
      <c r="AF67" s="99"/>
    </row>
    <row r="68" spans="2:32" ht="15.75">
      <c r="B68" s="138"/>
      <c r="C68" s="57"/>
      <c r="D68" s="57"/>
      <c r="E68" s="137"/>
      <c r="F68" s="137"/>
      <c r="G68" s="140"/>
      <c r="S68" s="99"/>
      <c r="T68" s="99"/>
      <c r="U68" s="99"/>
      <c r="V68" s="99"/>
      <c r="W68" s="99"/>
      <c r="X68" s="99"/>
      <c r="Y68" s="99"/>
      <c r="Z68" s="99"/>
      <c r="AA68" s="99"/>
      <c r="AB68" s="99"/>
      <c r="AC68" s="99"/>
      <c r="AD68" s="99"/>
      <c r="AE68" s="99"/>
      <c r="AF68" s="99"/>
    </row>
    <row r="69" spans="2:32" ht="15.75">
      <c r="B69" s="138"/>
      <c r="C69" s="57"/>
      <c r="D69" s="57"/>
      <c r="E69" s="137"/>
      <c r="F69" s="137"/>
      <c r="S69" s="99"/>
      <c r="T69" s="99"/>
      <c r="U69" s="99"/>
      <c r="V69" s="99"/>
      <c r="W69" s="99"/>
      <c r="X69" s="99"/>
      <c r="Y69" s="99"/>
      <c r="Z69" s="99"/>
      <c r="AA69" s="99"/>
      <c r="AB69" s="99"/>
      <c r="AC69" s="99"/>
      <c r="AD69" s="99"/>
      <c r="AE69" s="99"/>
      <c r="AF69" s="99"/>
    </row>
    <row r="70" spans="2:32" ht="15.75">
      <c r="B70" s="138"/>
      <c r="C70" s="57"/>
      <c r="D70" s="57"/>
      <c r="E70" s="137"/>
      <c r="F70" s="137"/>
      <c r="S70" s="99"/>
      <c r="T70" s="99"/>
      <c r="U70" s="99"/>
      <c r="V70" s="99"/>
      <c r="W70" s="99"/>
      <c r="X70" s="99"/>
      <c r="Y70" s="99"/>
      <c r="Z70" s="99"/>
      <c r="AA70" s="99"/>
      <c r="AB70" s="99"/>
      <c r="AC70" s="99"/>
      <c r="AD70" s="99"/>
      <c r="AE70" s="99"/>
      <c r="AF70" s="99"/>
    </row>
    <row r="71" spans="2:32" ht="15.75">
      <c r="B71" s="138"/>
      <c r="C71" s="57"/>
      <c r="D71" s="57"/>
      <c r="E71" s="138"/>
      <c r="F71" s="138"/>
      <c r="S71" s="99"/>
      <c r="T71" s="99"/>
      <c r="U71" s="99"/>
      <c r="V71" s="99"/>
      <c r="W71" s="99"/>
      <c r="X71" s="99"/>
      <c r="Y71" s="99"/>
      <c r="Z71" s="99"/>
      <c r="AA71" s="99"/>
      <c r="AB71" s="99"/>
      <c r="AC71" s="99"/>
      <c r="AD71" s="99"/>
      <c r="AE71" s="99"/>
      <c r="AF71" s="99"/>
    </row>
    <row r="72" spans="2:32" ht="15.75">
      <c r="B72" s="138"/>
      <c r="C72" s="57"/>
      <c r="D72" s="57"/>
      <c r="E72" s="138"/>
      <c r="F72" s="138"/>
      <c r="S72" s="99"/>
      <c r="T72" s="99"/>
      <c r="U72" s="99"/>
      <c r="V72" s="99"/>
      <c r="W72" s="99"/>
      <c r="X72" s="99"/>
      <c r="Y72" s="99"/>
      <c r="Z72" s="99"/>
      <c r="AA72" s="99"/>
      <c r="AB72" s="99"/>
      <c r="AC72" s="99"/>
      <c r="AD72" s="99"/>
      <c r="AE72" s="99"/>
      <c r="AF72" s="99"/>
    </row>
    <row r="73" spans="2:32" ht="15.75">
      <c r="B73" s="138"/>
      <c r="C73" s="57"/>
      <c r="D73" s="57"/>
      <c r="E73" s="138"/>
      <c r="F73" s="138"/>
      <c r="S73" s="99"/>
      <c r="T73" s="99"/>
      <c r="U73" s="99"/>
      <c r="V73" s="99"/>
      <c r="W73" s="99"/>
      <c r="X73" s="99"/>
      <c r="Y73" s="99"/>
      <c r="Z73" s="99"/>
      <c r="AA73" s="99"/>
      <c r="AB73" s="99"/>
      <c r="AC73" s="99"/>
      <c r="AD73" s="99"/>
      <c r="AE73" s="99"/>
      <c r="AF73" s="99"/>
    </row>
    <row r="74" spans="2:32">
      <c r="B74" s="57"/>
      <c r="C74" s="57"/>
      <c r="D74" s="57"/>
      <c r="E74" s="57"/>
      <c r="F74" s="57"/>
      <c r="S74" s="99"/>
      <c r="T74" s="99"/>
      <c r="U74" s="99"/>
      <c r="V74" s="99"/>
      <c r="W74" s="99"/>
      <c r="X74" s="99"/>
      <c r="Y74" s="99"/>
      <c r="Z74" s="99"/>
      <c r="AA74" s="99"/>
      <c r="AB74" s="99"/>
      <c r="AC74" s="99"/>
      <c r="AD74" s="99"/>
      <c r="AE74" s="99"/>
      <c r="AF74" s="99"/>
    </row>
    <row r="75" spans="2:32">
      <c r="B75" s="12"/>
      <c r="C75" s="12"/>
      <c r="D75" s="12"/>
      <c r="E75" s="12"/>
      <c r="F75" s="12"/>
      <c r="S75" s="99"/>
      <c r="T75" s="99"/>
      <c r="U75" s="99"/>
      <c r="V75" s="99"/>
      <c r="W75" s="99"/>
      <c r="X75" s="99"/>
      <c r="Y75" s="99"/>
      <c r="Z75" s="99"/>
      <c r="AA75" s="99"/>
      <c r="AB75" s="99"/>
      <c r="AC75" s="99"/>
      <c r="AD75" s="99"/>
      <c r="AE75" s="99"/>
      <c r="AF75" s="99"/>
    </row>
    <row r="76" spans="2:32">
      <c r="B76" s="12"/>
      <c r="C76" s="12"/>
      <c r="D76" s="12"/>
      <c r="E76" s="12"/>
      <c r="F76" s="12"/>
      <c r="S76" s="99"/>
      <c r="T76" s="99"/>
      <c r="U76" s="99"/>
      <c r="V76" s="99"/>
      <c r="W76" s="99"/>
      <c r="X76" s="99"/>
      <c r="Y76" s="99"/>
      <c r="Z76" s="99"/>
      <c r="AA76" s="99"/>
      <c r="AB76" s="99"/>
      <c r="AC76" s="99"/>
      <c r="AD76" s="99"/>
      <c r="AE76" s="99"/>
      <c r="AF76" s="99"/>
    </row>
    <row r="77" spans="2:32">
      <c r="B77" s="12"/>
      <c r="C77" s="12"/>
      <c r="D77" s="12"/>
      <c r="E77" s="12"/>
      <c r="F77" s="12"/>
      <c r="S77" s="99"/>
      <c r="T77" s="99"/>
      <c r="U77" s="99"/>
      <c r="V77" s="99"/>
      <c r="W77" s="99"/>
      <c r="X77" s="99"/>
      <c r="Y77" s="99"/>
      <c r="Z77" s="99"/>
      <c r="AA77" s="99"/>
      <c r="AB77" s="99"/>
      <c r="AC77" s="99"/>
      <c r="AD77" s="99"/>
      <c r="AE77" s="99"/>
      <c r="AF77" s="99"/>
    </row>
    <row r="78" spans="2:32">
      <c r="B78" s="12"/>
      <c r="C78" s="12"/>
      <c r="D78" s="12"/>
      <c r="E78" s="12"/>
      <c r="F78" s="12"/>
      <c r="S78" s="99"/>
      <c r="T78" s="99"/>
      <c r="U78" s="99"/>
      <c r="V78" s="99"/>
      <c r="W78" s="99"/>
      <c r="X78" s="99"/>
      <c r="Y78" s="99"/>
      <c r="Z78" s="99"/>
      <c r="AA78" s="99"/>
      <c r="AB78" s="99"/>
      <c r="AC78" s="99"/>
      <c r="AD78" s="99"/>
      <c r="AE78" s="99"/>
      <c r="AF78" s="99"/>
    </row>
    <row r="79" spans="2:32">
      <c r="B79" s="12"/>
      <c r="C79" s="12"/>
      <c r="D79" s="12"/>
      <c r="E79" s="12"/>
      <c r="F79" s="12"/>
      <c r="S79" s="99"/>
      <c r="T79" s="99"/>
      <c r="U79" s="99"/>
      <c r="V79" s="99"/>
      <c r="W79" s="99"/>
      <c r="X79" s="99"/>
      <c r="Y79" s="99"/>
      <c r="Z79" s="99"/>
      <c r="AA79" s="99"/>
      <c r="AB79" s="99"/>
      <c r="AC79" s="99"/>
      <c r="AD79" s="99"/>
      <c r="AE79" s="99"/>
      <c r="AF79" s="99"/>
    </row>
    <row r="80" spans="2:32">
      <c r="B80" s="12"/>
      <c r="C80" s="12"/>
      <c r="D80" s="12"/>
      <c r="E80" s="12"/>
      <c r="F80" s="12"/>
      <c r="S80" s="99"/>
      <c r="T80" s="99"/>
      <c r="U80" s="99"/>
      <c r="V80" s="99"/>
      <c r="W80" s="99"/>
      <c r="X80" s="99"/>
      <c r="Y80" s="99"/>
      <c r="Z80" s="99"/>
      <c r="AA80" s="99"/>
      <c r="AB80" s="99"/>
      <c r="AC80" s="99"/>
      <c r="AD80" s="99"/>
      <c r="AE80" s="99"/>
      <c r="AF80" s="99"/>
    </row>
    <row r="81" spans="2:32">
      <c r="B81" s="12"/>
      <c r="C81" s="12"/>
      <c r="D81" s="12"/>
      <c r="E81" s="12"/>
      <c r="F81" s="12"/>
      <c r="S81" s="99"/>
      <c r="T81" s="99"/>
      <c r="U81" s="99"/>
      <c r="V81" s="99"/>
      <c r="W81" s="99"/>
      <c r="X81" s="99"/>
      <c r="Y81" s="99"/>
      <c r="Z81" s="99"/>
      <c r="AA81" s="99"/>
      <c r="AB81" s="99"/>
      <c r="AC81" s="99"/>
      <c r="AD81" s="99"/>
      <c r="AE81" s="99"/>
      <c r="AF81" s="99"/>
    </row>
    <row r="82" spans="2:32">
      <c r="B82" s="12"/>
      <c r="C82" s="12"/>
      <c r="D82" s="12"/>
      <c r="E82" s="12"/>
      <c r="F82" s="12"/>
      <c r="S82" s="99"/>
      <c r="T82" s="99"/>
      <c r="U82" s="99"/>
      <c r="V82" s="99"/>
      <c r="W82" s="99"/>
      <c r="X82" s="99"/>
      <c r="Y82" s="99"/>
      <c r="Z82" s="99"/>
      <c r="AA82" s="99"/>
      <c r="AB82" s="99"/>
      <c r="AC82" s="99"/>
      <c r="AD82" s="99"/>
      <c r="AE82" s="99"/>
      <c r="AF82" s="99"/>
    </row>
    <row r="83" spans="2:32">
      <c r="B83" s="12"/>
      <c r="C83" s="12"/>
      <c r="D83" s="12"/>
      <c r="E83" s="12"/>
      <c r="F83" s="12"/>
      <c r="S83" s="99"/>
      <c r="T83" s="99"/>
      <c r="U83" s="99"/>
      <c r="V83" s="99"/>
      <c r="W83" s="99"/>
      <c r="X83" s="99"/>
      <c r="Y83" s="99"/>
      <c r="Z83" s="99"/>
      <c r="AA83" s="99"/>
      <c r="AB83" s="99"/>
      <c r="AC83" s="99"/>
      <c r="AD83" s="99"/>
      <c r="AE83" s="99"/>
      <c r="AF83" s="99"/>
    </row>
    <row r="84" spans="2:32">
      <c r="B84" s="12"/>
      <c r="C84" s="12"/>
      <c r="D84" s="12"/>
      <c r="E84" s="12"/>
      <c r="F84" s="12"/>
      <c r="S84" s="99"/>
      <c r="T84" s="99"/>
      <c r="U84" s="99"/>
      <c r="V84" s="99"/>
      <c r="W84" s="99"/>
      <c r="X84" s="99"/>
      <c r="Y84" s="99"/>
      <c r="Z84" s="99"/>
      <c r="AA84" s="99"/>
      <c r="AB84" s="99"/>
      <c r="AC84" s="99"/>
      <c r="AD84" s="99"/>
      <c r="AE84" s="99"/>
      <c r="AF84" s="99"/>
    </row>
    <row r="85" spans="2:32">
      <c r="B85" s="12"/>
      <c r="C85" s="12"/>
      <c r="D85" s="12"/>
      <c r="E85" s="12"/>
      <c r="F85" s="12"/>
      <c r="S85" s="99"/>
      <c r="T85" s="99"/>
      <c r="U85" s="99"/>
      <c r="V85" s="99"/>
      <c r="W85" s="99"/>
      <c r="X85" s="99"/>
      <c r="Y85" s="99"/>
      <c r="Z85" s="99"/>
      <c r="AA85" s="99"/>
      <c r="AB85" s="99"/>
      <c r="AC85" s="99"/>
      <c r="AD85" s="99"/>
      <c r="AE85" s="99"/>
      <c r="AF85" s="99"/>
    </row>
    <row r="86" spans="2:32">
      <c r="B86" s="12"/>
      <c r="C86" s="12"/>
      <c r="D86" s="12"/>
      <c r="E86" s="12"/>
      <c r="F86" s="12"/>
      <c r="S86" s="99"/>
      <c r="T86" s="99"/>
      <c r="U86" s="99"/>
      <c r="V86" s="99"/>
      <c r="W86" s="99"/>
      <c r="X86" s="99"/>
      <c r="Y86" s="99"/>
      <c r="Z86" s="99"/>
      <c r="AA86" s="99"/>
      <c r="AB86" s="99"/>
      <c r="AC86" s="99"/>
      <c r="AD86" s="99"/>
      <c r="AE86" s="99"/>
      <c r="AF86" s="99"/>
    </row>
    <row r="87" spans="2:32">
      <c r="B87" s="12"/>
      <c r="C87" s="12"/>
      <c r="D87" s="12"/>
      <c r="E87" s="12"/>
      <c r="F87" s="12"/>
      <c r="S87" s="99"/>
      <c r="T87" s="99"/>
      <c r="U87" s="99"/>
      <c r="V87" s="99"/>
      <c r="W87" s="99"/>
      <c r="X87" s="99"/>
      <c r="Y87" s="99"/>
      <c r="Z87" s="99"/>
      <c r="AA87" s="99"/>
      <c r="AB87" s="99"/>
      <c r="AC87" s="99"/>
      <c r="AD87" s="99"/>
      <c r="AE87" s="99"/>
      <c r="AF87" s="99"/>
    </row>
    <row r="88" spans="2:32">
      <c r="B88" s="12"/>
      <c r="C88" s="12"/>
      <c r="D88" s="12"/>
      <c r="E88" s="12"/>
      <c r="F88" s="12"/>
      <c r="S88" s="99"/>
      <c r="T88" s="99"/>
      <c r="U88" s="99"/>
      <c r="V88" s="99"/>
      <c r="W88" s="99"/>
      <c r="X88" s="99"/>
      <c r="Y88" s="99"/>
      <c r="Z88" s="99"/>
      <c r="AA88" s="99"/>
      <c r="AB88" s="99"/>
      <c r="AC88" s="99"/>
      <c r="AD88" s="99"/>
      <c r="AE88" s="99"/>
      <c r="AF88" s="99"/>
    </row>
    <row r="89" spans="2:32">
      <c r="B89" s="12"/>
      <c r="C89" s="12"/>
      <c r="D89" s="12"/>
      <c r="E89" s="12"/>
      <c r="F89" s="12"/>
      <c r="S89" s="99"/>
      <c r="T89" s="99"/>
      <c r="U89" s="99"/>
      <c r="V89" s="99"/>
      <c r="W89" s="99"/>
      <c r="X89" s="99"/>
      <c r="Y89" s="99"/>
      <c r="Z89" s="99"/>
      <c r="AA89" s="99"/>
      <c r="AB89" s="99"/>
      <c r="AC89" s="99"/>
      <c r="AD89" s="99"/>
      <c r="AE89" s="99"/>
      <c r="AF89" s="99"/>
    </row>
    <row r="90" spans="2:32">
      <c r="B90" s="12"/>
      <c r="C90" s="12"/>
      <c r="D90" s="12"/>
      <c r="E90" s="12"/>
      <c r="F90" s="12"/>
      <c r="S90" s="99"/>
      <c r="T90" s="99"/>
      <c r="U90" s="99"/>
      <c r="V90" s="99"/>
      <c r="W90" s="99"/>
      <c r="X90" s="99"/>
      <c r="Y90" s="99"/>
      <c r="Z90" s="99"/>
      <c r="AA90" s="99"/>
      <c r="AB90" s="99"/>
      <c r="AC90" s="99"/>
      <c r="AD90" s="99"/>
      <c r="AE90" s="99"/>
      <c r="AF90" s="99"/>
    </row>
    <row r="91" spans="2:32">
      <c r="B91" s="12"/>
      <c r="C91" s="12"/>
      <c r="D91" s="12"/>
      <c r="E91" s="12"/>
      <c r="F91" s="12"/>
      <c r="S91" s="99"/>
      <c r="T91" s="99"/>
      <c r="U91" s="99"/>
      <c r="V91" s="99"/>
      <c r="W91" s="99"/>
      <c r="X91" s="99"/>
      <c r="Y91" s="99"/>
      <c r="Z91" s="99"/>
      <c r="AA91" s="99"/>
      <c r="AB91" s="99"/>
      <c r="AC91" s="99"/>
      <c r="AD91" s="99"/>
      <c r="AE91" s="99"/>
      <c r="AF91" s="99"/>
    </row>
    <row r="92" spans="2:32">
      <c r="B92" s="12"/>
      <c r="C92" s="12"/>
      <c r="D92" s="12"/>
      <c r="E92" s="12"/>
      <c r="F92" s="12"/>
      <c r="S92" s="99"/>
      <c r="T92" s="99"/>
      <c r="U92" s="99"/>
      <c r="V92" s="99"/>
      <c r="W92" s="99"/>
      <c r="X92" s="99"/>
      <c r="Y92" s="219"/>
      <c r="Z92" s="99"/>
      <c r="AA92" s="99"/>
      <c r="AB92" s="99"/>
      <c r="AC92" s="99"/>
      <c r="AD92" s="99"/>
      <c r="AE92" s="99"/>
      <c r="AF92" s="99"/>
    </row>
    <row r="93" spans="2:32">
      <c r="B93" s="12"/>
      <c r="C93" s="12"/>
      <c r="D93" s="12"/>
      <c r="E93" s="12"/>
      <c r="F93" s="12"/>
      <c r="S93" s="99"/>
      <c r="T93" s="99"/>
      <c r="U93" s="99"/>
      <c r="V93" s="99"/>
      <c r="W93" s="99"/>
      <c r="X93" s="99"/>
      <c r="Y93" s="99"/>
      <c r="Z93" s="99"/>
      <c r="AA93" s="99"/>
      <c r="AB93" s="99"/>
      <c r="AC93" s="99"/>
      <c r="AD93" s="99"/>
      <c r="AE93" s="99"/>
      <c r="AF93" s="99"/>
    </row>
    <row r="94" spans="2:32">
      <c r="B94" s="12"/>
      <c r="C94" s="12"/>
      <c r="D94" s="12"/>
      <c r="E94" s="12"/>
      <c r="F94" s="12"/>
      <c r="S94" s="99"/>
      <c r="T94" s="99"/>
      <c r="U94" s="99"/>
      <c r="V94" s="99"/>
      <c r="W94" s="99"/>
      <c r="X94" s="99"/>
      <c r="Y94" s="99"/>
      <c r="Z94" s="99"/>
      <c r="AA94" s="99"/>
      <c r="AB94" s="99"/>
      <c r="AC94" s="99"/>
      <c r="AD94" s="99"/>
      <c r="AE94" s="99"/>
      <c r="AF94" s="99"/>
    </row>
    <row r="95" spans="2:32">
      <c r="S95" s="99"/>
      <c r="T95" s="220"/>
      <c r="U95" s="99"/>
      <c r="V95" s="99"/>
      <c r="W95" s="99"/>
      <c r="X95" s="99"/>
      <c r="Y95" s="99"/>
      <c r="Z95" s="99"/>
      <c r="AA95" s="99"/>
      <c r="AB95" s="99"/>
      <c r="AC95" s="99"/>
      <c r="AD95" s="99"/>
      <c r="AE95" s="99"/>
      <c r="AF95" s="99"/>
    </row>
    <row r="96" spans="2:32">
      <c r="S96" s="99"/>
      <c r="T96" s="99"/>
      <c r="U96" s="99"/>
      <c r="V96" s="99"/>
      <c r="W96" s="99"/>
      <c r="X96" s="99"/>
      <c r="Y96" s="99"/>
      <c r="Z96" s="99"/>
      <c r="AA96" s="99"/>
      <c r="AB96" s="99"/>
      <c r="AC96" s="99"/>
      <c r="AD96" s="99"/>
      <c r="AE96" s="99"/>
      <c r="AF96" s="99"/>
    </row>
    <row r="97" spans="19:32">
      <c r="S97" s="99"/>
      <c r="T97" s="99"/>
      <c r="U97" s="99"/>
      <c r="V97" s="99"/>
      <c r="W97" s="99"/>
      <c r="X97" s="99"/>
      <c r="Y97" s="99"/>
      <c r="Z97" s="99"/>
      <c r="AA97" s="99"/>
      <c r="AB97" s="99"/>
      <c r="AC97" s="99"/>
      <c r="AD97" s="99"/>
      <c r="AE97" s="99"/>
      <c r="AF97" s="99"/>
    </row>
    <row r="98" spans="19:32">
      <c r="S98" s="99"/>
      <c r="T98" s="99"/>
      <c r="U98" s="99"/>
      <c r="V98" s="99"/>
      <c r="W98" s="99"/>
      <c r="X98" s="99"/>
      <c r="Y98" s="99"/>
      <c r="Z98" s="99"/>
      <c r="AA98" s="99"/>
      <c r="AB98" s="99"/>
      <c r="AC98" s="99"/>
      <c r="AD98" s="99"/>
      <c r="AE98" s="99"/>
      <c r="AF98" s="99"/>
    </row>
    <row r="99" spans="19:32">
      <c r="S99" s="99"/>
      <c r="T99" s="99"/>
      <c r="U99" s="99"/>
      <c r="V99" s="99"/>
      <c r="W99" s="99"/>
      <c r="X99" s="99"/>
      <c r="Y99" s="99"/>
      <c r="Z99" s="99"/>
      <c r="AA99" s="99"/>
      <c r="AB99" s="99"/>
      <c r="AC99" s="99"/>
      <c r="AD99" s="99"/>
      <c r="AE99" s="99"/>
      <c r="AF99" s="99"/>
    </row>
    <row r="100" spans="19:32">
      <c r="S100" s="99"/>
      <c r="T100" s="99"/>
      <c r="U100" s="99"/>
      <c r="V100" s="99"/>
      <c r="W100" s="99"/>
      <c r="X100" s="99"/>
      <c r="Y100" s="99"/>
      <c r="Z100" s="99"/>
      <c r="AA100" s="99"/>
      <c r="AB100" s="99"/>
      <c r="AC100" s="99"/>
      <c r="AD100" s="99"/>
      <c r="AE100" s="99"/>
      <c r="AF100" s="99"/>
    </row>
    <row r="101" spans="19:32">
      <c r="S101" s="99"/>
      <c r="T101" s="99"/>
      <c r="U101" s="99"/>
      <c r="V101" s="99"/>
      <c r="W101" s="99"/>
      <c r="X101" s="99"/>
      <c r="Y101" s="99"/>
      <c r="Z101" s="99"/>
      <c r="AA101" s="99"/>
      <c r="AB101" s="99"/>
      <c r="AC101" s="99"/>
      <c r="AD101" s="99"/>
      <c r="AE101" s="99"/>
      <c r="AF101" s="99"/>
    </row>
    <row r="102" spans="19:32">
      <c r="S102" s="99"/>
      <c r="T102" s="99"/>
      <c r="U102" s="99"/>
      <c r="V102" s="99"/>
      <c r="W102" s="99"/>
      <c r="X102" s="99"/>
      <c r="Y102" s="99"/>
      <c r="Z102" s="99"/>
      <c r="AA102" s="99"/>
      <c r="AB102" s="99"/>
      <c r="AC102" s="99"/>
      <c r="AD102" s="99"/>
      <c r="AE102" s="99"/>
      <c r="AF102" s="99"/>
    </row>
    <row r="103" spans="19:32">
      <c r="S103" s="99"/>
      <c r="T103" s="99"/>
      <c r="U103" s="99"/>
      <c r="V103" s="99"/>
      <c r="W103" s="99"/>
      <c r="X103" s="99"/>
      <c r="Y103" s="99"/>
      <c r="Z103" s="99"/>
      <c r="AA103" s="99"/>
      <c r="AB103" s="99"/>
      <c r="AC103" s="99"/>
      <c r="AD103" s="99"/>
      <c r="AE103" s="99"/>
      <c r="AF103" s="99"/>
    </row>
    <row r="104" spans="19:32">
      <c r="S104" s="99"/>
      <c r="T104" s="99"/>
      <c r="U104" s="99"/>
      <c r="V104" s="99"/>
      <c r="W104" s="99"/>
      <c r="X104" s="99"/>
      <c r="Y104" s="99"/>
      <c r="Z104" s="99"/>
      <c r="AA104" s="99"/>
      <c r="AB104" s="99"/>
      <c r="AC104" s="99"/>
      <c r="AD104" s="99"/>
      <c r="AE104" s="99"/>
      <c r="AF104" s="99"/>
    </row>
    <row r="105" spans="19:32">
      <c r="S105" s="99"/>
      <c r="T105" s="99"/>
      <c r="U105" s="99"/>
      <c r="V105" s="99"/>
      <c r="W105" s="99"/>
      <c r="X105" s="99"/>
      <c r="Y105" s="99"/>
      <c r="Z105" s="99"/>
      <c r="AA105" s="99"/>
      <c r="AB105" s="99"/>
      <c r="AC105" s="99"/>
      <c r="AD105" s="99"/>
      <c r="AE105" s="99"/>
      <c r="AF105" s="99"/>
    </row>
    <row r="106" spans="19:32">
      <c r="S106" s="99"/>
      <c r="T106" s="99"/>
      <c r="U106" s="99"/>
      <c r="V106" s="99"/>
      <c r="W106" s="99"/>
      <c r="X106" s="99"/>
      <c r="Y106" s="99"/>
      <c r="Z106" s="99"/>
      <c r="AA106" s="99"/>
      <c r="AB106" s="99"/>
      <c r="AC106" s="99"/>
      <c r="AD106" s="99"/>
      <c r="AE106" s="99"/>
      <c r="AF106" s="99"/>
    </row>
    <row r="107" spans="19:32">
      <c r="S107" s="99"/>
      <c r="T107" s="99"/>
      <c r="U107" s="99"/>
      <c r="V107" s="99"/>
      <c r="W107" s="99"/>
      <c r="X107" s="99"/>
      <c r="Y107" s="99"/>
      <c r="Z107" s="99"/>
      <c r="AA107" s="99"/>
      <c r="AB107" s="99"/>
      <c r="AC107" s="99"/>
      <c r="AD107" s="99"/>
      <c r="AE107" s="99"/>
      <c r="AF107" s="99"/>
    </row>
    <row r="108" spans="19:32">
      <c r="S108" s="99"/>
      <c r="T108" s="99"/>
      <c r="U108" s="99"/>
      <c r="V108" s="99"/>
      <c r="W108" s="99"/>
      <c r="X108" s="99"/>
      <c r="Y108" s="99"/>
      <c r="Z108" s="99"/>
      <c r="AA108" s="99"/>
      <c r="AB108" s="99"/>
      <c r="AC108" s="99"/>
      <c r="AD108" s="99"/>
      <c r="AE108" s="99"/>
      <c r="AF108" s="99"/>
    </row>
    <row r="109" spans="19:32">
      <c r="S109" s="99"/>
      <c r="T109" s="99"/>
      <c r="U109" s="99"/>
      <c r="V109" s="99"/>
      <c r="W109" s="99"/>
      <c r="X109" s="99"/>
      <c r="Y109" s="99"/>
      <c r="Z109" s="99"/>
      <c r="AA109" s="99"/>
      <c r="AB109" s="99"/>
      <c r="AC109" s="99"/>
      <c r="AD109" s="99"/>
      <c r="AE109" s="99"/>
      <c r="AF109" s="99"/>
    </row>
    <row r="110" spans="19:32">
      <c r="S110" s="99"/>
      <c r="T110" s="99"/>
      <c r="U110" s="99"/>
      <c r="V110" s="99"/>
      <c r="W110" s="99"/>
      <c r="X110" s="99"/>
      <c r="Y110" s="99"/>
      <c r="Z110" s="99"/>
      <c r="AA110" s="99"/>
      <c r="AB110" s="99"/>
      <c r="AC110" s="99"/>
      <c r="AD110" s="99"/>
      <c r="AE110" s="99"/>
      <c r="AF110" s="99"/>
    </row>
    <row r="111" spans="19:32">
      <c r="S111" s="99"/>
      <c r="T111" s="99"/>
      <c r="U111" s="99"/>
      <c r="V111" s="99"/>
      <c r="W111" s="99"/>
      <c r="X111" s="99"/>
      <c r="Y111" s="99"/>
      <c r="Z111" s="99"/>
      <c r="AA111" s="99"/>
      <c r="AB111" s="99"/>
      <c r="AC111" s="99"/>
      <c r="AD111" s="99"/>
      <c r="AE111" s="99"/>
      <c r="AF111" s="99"/>
    </row>
    <row r="112" spans="19:32">
      <c r="S112" s="99"/>
      <c r="T112" s="99"/>
      <c r="U112" s="99"/>
      <c r="V112" s="99"/>
      <c r="W112" s="99"/>
      <c r="X112" s="99"/>
      <c r="Y112" s="99"/>
      <c r="Z112" s="99"/>
      <c r="AA112" s="99"/>
      <c r="AB112" s="99"/>
      <c r="AC112" s="99"/>
      <c r="AD112" s="99"/>
      <c r="AE112" s="99"/>
      <c r="AF112" s="99"/>
    </row>
    <row r="113" spans="19:32">
      <c r="S113" s="99"/>
      <c r="T113" s="99"/>
      <c r="U113" s="99"/>
      <c r="V113" s="99"/>
      <c r="W113" s="99"/>
      <c r="X113" s="99"/>
      <c r="Y113" s="99"/>
      <c r="Z113" s="99"/>
      <c r="AA113" s="99"/>
      <c r="AB113" s="99"/>
      <c r="AC113" s="99"/>
      <c r="AD113" s="99"/>
      <c r="AE113" s="99"/>
      <c r="AF113" s="99"/>
    </row>
    <row r="114" spans="19:32">
      <c r="S114" s="99"/>
      <c r="T114" s="99"/>
      <c r="U114" s="99"/>
      <c r="V114" s="99"/>
      <c r="W114" s="99"/>
      <c r="X114" s="99"/>
      <c r="Y114" s="99"/>
      <c r="Z114" s="99"/>
      <c r="AA114" s="99"/>
      <c r="AB114" s="99"/>
      <c r="AC114" s="99"/>
      <c r="AD114" s="99"/>
      <c r="AE114" s="99"/>
      <c r="AF114" s="99"/>
    </row>
    <row r="115" spans="19:32">
      <c r="S115" s="99"/>
      <c r="T115" s="99"/>
      <c r="U115" s="99"/>
      <c r="V115" s="99"/>
      <c r="W115" s="99"/>
      <c r="X115" s="99"/>
      <c r="Y115" s="99"/>
      <c r="Z115" s="99"/>
      <c r="AA115" s="99"/>
      <c r="AB115" s="99"/>
      <c r="AC115" s="99"/>
      <c r="AD115" s="99"/>
      <c r="AE115" s="99"/>
      <c r="AF115" s="99"/>
    </row>
    <row r="116" spans="19:32">
      <c r="S116" s="99"/>
      <c r="T116" s="99"/>
      <c r="U116" s="99"/>
      <c r="V116" s="99"/>
      <c r="W116" s="99"/>
      <c r="X116" s="99"/>
      <c r="Y116" s="99"/>
      <c r="Z116" s="99"/>
      <c r="AA116" s="99"/>
      <c r="AB116" s="99"/>
      <c r="AC116" s="99"/>
      <c r="AD116" s="99"/>
      <c r="AE116" s="99"/>
      <c r="AF116" s="99"/>
    </row>
    <row r="117" spans="19:32">
      <c r="S117" s="99"/>
      <c r="T117" s="99"/>
      <c r="U117" s="99"/>
      <c r="V117" s="99"/>
      <c r="W117" s="99"/>
      <c r="X117" s="99"/>
      <c r="Y117" s="99"/>
      <c r="Z117" s="99"/>
      <c r="AA117" s="99"/>
      <c r="AB117" s="99"/>
      <c r="AC117" s="99"/>
      <c r="AD117" s="99"/>
      <c r="AE117" s="99"/>
      <c r="AF117" s="99"/>
    </row>
    <row r="118" spans="19:32">
      <c r="S118" s="99"/>
      <c r="T118" s="99"/>
      <c r="U118" s="99"/>
      <c r="V118" s="99"/>
      <c r="W118" s="99"/>
      <c r="X118" s="99"/>
      <c r="Y118" s="99"/>
      <c r="Z118" s="99"/>
      <c r="AA118" s="99"/>
      <c r="AB118" s="99"/>
      <c r="AC118" s="99"/>
      <c r="AD118" s="99"/>
      <c r="AE118" s="99"/>
      <c r="AF118" s="99"/>
    </row>
    <row r="119" spans="19:32">
      <c r="S119" s="99"/>
      <c r="T119" s="99"/>
      <c r="U119" s="99"/>
      <c r="V119" s="99"/>
      <c r="W119" s="99"/>
      <c r="X119" s="99"/>
      <c r="Y119" s="99"/>
      <c r="Z119" s="99"/>
      <c r="AA119" s="99"/>
      <c r="AB119" s="99"/>
      <c r="AC119" s="99"/>
      <c r="AD119" s="99"/>
      <c r="AE119" s="99"/>
      <c r="AF119" s="99"/>
    </row>
    <row r="120" spans="19:32">
      <c r="S120" s="99"/>
      <c r="T120" s="99"/>
      <c r="U120" s="99"/>
      <c r="V120" s="99"/>
      <c r="W120" s="99"/>
      <c r="X120" s="99"/>
      <c r="Y120" s="99"/>
      <c r="Z120" s="99"/>
      <c r="AA120" s="99"/>
      <c r="AB120" s="99"/>
      <c r="AC120" s="99"/>
      <c r="AD120" s="99"/>
      <c r="AE120" s="99"/>
      <c r="AF120" s="99"/>
    </row>
    <row r="121" spans="19:32">
      <c r="S121" s="99"/>
      <c r="T121" s="99"/>
      <c r="U121" s="99"/>
      <c r="V121" s="99"/>
      <c r="W121" s="99"/>
      <c r="X121" s="99"/>
      <c r="Y121" s="99"/>
      <c r="Z121" s="99"/>
      <c r="AA121" s="99"/>
      <c r="AB121" s="99"/>
      <c r="AC121" s="99"/>
      <c r="AD121" s="99"/>
      <c r="AE121" s="99"/>
      <c r="AF121" s="99"/>
    </row>
    <row r="122" spans="19:32">
      <c r="S122" s="99"/>
      <c r="T122" s="99"/>
      <c r="U122" s="99"/>
      <c r="V122" s="99"/>
      <c r="W122" s="99"/>
      <c r="X122" s="99"/>
      <c r="Y122" s="99"/>
      <c r="Z122" s="99"/>
      <c r="AA122" s="99"/>
      <c r="AB122" s="99"/>
      <c r="AC122" s="99"/>
      <c r="AD122" s="99"/>
      <c r="AE122" s="99"/>
      <c r="AF122" s="99"/>
    </row>
    <row r="123" spans="19:32">
      <c r="S123" s="99"/>
      <c r="T123" s="99"/>
      <c r="U123" s="99"/>
      <c r="V123" s="99"/>
      <c r="W123" s="99"/>
      <c r="X123" s="99"/>
      <c r="Y123" s="99"/>
      <c r="Z123" s="99"/>
      <c r="AA123" s="99"/>
      <c r="AB123" s="99"/>
      <c r="AC123" s="99"/>
      <c r="AD123" s="99"/>
      <c r="AE123" s="99"/>
      <c r="AF123" s="99"/>
    </row>
    <row r="124" spans="19:32">
      <c r="S124" s="99"/>
      <c r="T124" s="99"/>
      <c r="U124" s="99"/>
      <c r="V124" s="99"/>
      <c r="W124" s="99"/>
      <c r="X124" s="99"/>
      <c r="Y124" s="99"/>
      <c r="Z124" s="99"/>
      <c r="AA124" s="99"/>
      <c r="AB124" s="99"/>
      <c r="AC124" s="99"/>
      <c r="AD124" s="99"/>
      <c r="AE124" s="99"/>
      <c r="AF124" s="99"/>
    </row>
    <row r="125" spans="19:32">
      <c r="S125" s="99"/>
      <c r="T125" s="220"/>
      <c r="U125" s="99"/>
      <c r="V125" s="99"/>
      <c r="W125" s="99"/>
      <c r="X125" s="99"/>
      <c r="Y125" s="99"/>
      <c r="Z125" s="99"/>
      <c r="AA125" s="99"/>
      <c r="AB125" s="99"/>
      <c r="AC125" s="99"/>
      <c r="AD125" s="99"/>
      <c r="AE125" s="99"/>
      <c r="AF125" s="99"/>
    </row>
    <row r="126" spans="19:32">
      <c r="S126" s="99"/>
      <c r="T126" s="99"/>
      <c r="U126" s="99"/>
      <c r="V126" s="99"/>
      <c r="W126" s="99"/>
      <c r="X126" s="99"/>
      <c r="Y126" s="99"/>
      <c r="Z126" s="99"/>
      <c r="AA126" s="99"/>
      <c r="AB126" s="99"/>
      <c r="AC126" s="99"/>
      <c r="AD126" s="99"/>
      <c r="AE126" s="99"/>
      <c r="AF126" s="99"/>
    </row>
    <row r="127" spans="19:32">
      <c r="S127" s="99"/>
      <c r="T127" s="99"/>
      <c r="U127" s="99"/>
      <c r="V127" s="99"/>
      <c r="W127" s="99"/>
      <c r="X127" s="99"/>
      <c r="Y127" s="99"/>
      <c r="Z127" s="99"/>
      <c r="AA127" s="99"/>
      <c r="AB127" s="99"/>
      <c r="AC127" s="99"/>
      <c r="AD127" s="99"/>
      <c r="AE127" s="99"/>
      <c r="AF127" s="99"/>
    </row>
    <row r="128" spans="19:32">
      <c r="S128" s="99"/>
      <c r="T128" s="99"/>
      <c r="U128" s="99"/>
      <c r="V128" s="99"/>
      <c r="W128" s="99"/>
      <c r="X128" s="99"/>
      <c r="Y128" s="99"/>
      <c r="Z128" s="99"/>
      <c r="AA128" s="99"/>
      <c r="AB128" s="99"/>
      <c r="AC128" s="99"/>
      <c r="AD128" s="99"/>
      <c r="AE128" s="99"/>
      <c r="AF128" s="99"/>
    </row>
    <row r="129" spans="19:32">
      <c r="S129" s="99"/>
      <c r="T129" s="99"/>
      <c r="U129" s="99"/>
      <c r="V129" s="99"/>
      <c r="W129" s="99"/>
      <c r="X129" s="99"/>
      <c r="Y129" s="99"/>
      <c r="Z129" s="99"/>
      <c r="AA129" s="99"/>
      <c r="AB129" s="99"/>
      <c r="AC129" s="99"/>
      <c r="AD129" s="99"/>
      <c r="AE129" s="99"/>
      <c r="AF129" s="99"/>
    </row>
    <row r="130" spans="19:32">
      <c r="S130" s="99"/>
      <c r="T130" s="99"/>
      <c r="U130" s="99"/>
      <c r="V130" s="99"/>
      <c r="W130" s="99"/>
      <c r="X130" s="99"/>
      <c r="Y130" s="99"/>
      <c r="Z130" s="99"/>
      <c r="AA130" s="99"/>
      <c r="AB130" s="99"/>
      <c r="AC130" s="99"/>
      <c r="AD130" s="99"/>
      <c r="AE130" s="99"/>
      <c r="AF130" s="99"/>
    </row>
    <row r="131" spans="19:32">
      <c r="S131" s="99"/>
      <c r="T131" s="99"/>
      <c r="U131" s="99"/>
      <c r="V131" s="99"/>
      <c r="W131" s="99"/>
      <c r="X131" s="99"/>
      <c r="Y131" s="99"/>
      <c r="Z131" s="99"/>
      <c r="AA131" s="99"/>
      <c r="AB131" s="99"/>
      <c r="AC131" s="99"/>
      <c r="AD131" s="99"/>
      <c r="AE131" s="99"/>
      <c r="AF131" s="99"/>
    </row>
    <row r="132" spans="19:32">
      <c r="S132" s="99"/>
      <c r="T132" s="99"/>
      <c r="U132" s="99"/>
      <c r="V132" s="99"/>
      <c r="W132" s="99"/>
      <c r="X132" s="99"/>
      <c r="Y132" s="99"/>
      <c r="Z132" s="99"/>
      <c r="AA132" s="99"/>
      <c r="AB132" s="99"/>
      <c r="AC132" s="99"/>
      <c r="AD132" s="99"/>
      <c r="AE132" s="99"/>
      <c r="AF132" s="99"/>
    </row>
    <row r="133" spans="19:32">
      <c r="S133" s="99"/>
      <c r="T133" s="99"/>
      <c r="U133" s="99"/>
      <c r="V133" s="99"/>
      <c r="W133" s="99"/>
      <c r="X133" s="99"/>
      <c r="Y133" s="99"/>
      <c r="Z133" s="99"/>
      <c r="AA133" s="99"/>
      <c r="AB133" s="99"/>
      <c r="AC133" s="99"/>
      <c r="AD133" s="99"/>
      <c r="AE133" s="99"/>
      <c r="AF133" s="99"/>
    </row>
    <row r="134" spans="19:32">
      <c r="S134" s="99"/>
      <c r="T134" s="99"/>
      <c r="U134" s="99"/>
      <c r="V134" s="99"/>
      <c r="W134" s="99"/>
      <c r="X134" s="99"/>
      <c r="Y134" s="99"/>
      <c r="Z134" s="99"/>
      <c r="AA134" s="99"/>
      <c r="AB134" s="99"/>
      <c r="AC134" s="99"/>
      <c r="AD134" s="99"/>
      <c r="AE134" s="99"/>
      <c r="AF134" s="99"/>
    </row>
    <row r="135" spans="19:32">
      <c r="S135" s="99"/>
      <c r="T135" s="99"/>
      <c r="U135" s="99"/>
      <c r="V135" s="99"/>
      <c r="W135" s="99"/>
      <c r="X135" s="99"/>
      <c r="Y135" s="99"/>
      <c r="Z135" s="99"/>
      <c r="AA135" s="99"/>
      <c r="AB135" s="99"/>
      <c r="AC135" s="99"/>
      <c r="AD135" s="99"/>
      <c r="AE135" s="99"/>
      <c r="AF135" s="99"/>
    </row>
    <row r="136" spans="19:32">
      <c r="S136" s="99"/>
      <c r="T136" s="99"/>
      <c r="U136" s="99"/>
      <c r="V136" s="99"/>
      <c r="W136" s="99"/>
      <c r="X136" s="99"/>
      <c r="Y136" s="99"/>
      <c r="Z136" s="99"/>
      <c r="AA136" s="99"/>
      <c r="AB136" s="99"/>
      <c r="AC136" s="99"/>
      <c r="AD136" s="99"/>
      <c r="AE136" s="99"/>
      <c r="AF136" s="99"/>
    </row>
    <row r="137" spans="19:32">
      <c r="S137" s="99"/>
      <c r="T137" s="99"/>
      <c r="U137" s="99"/>
      <c r="V137" s="99"/>
      <c r="W137" s="99"/>
      <c r="X137" s="99"/>
      <c r="Y137" s="99"/>
      <c r="Z137" s="99"/>
      <c r="AA137" s="99"/>
      <c r="AB137" s="99"/>
      <c r="AC137" s="99"/>
      <c r="AD137" s="99"/>
      <c r="AE137" s="99"/>
      <c r="AF137" s="99"/>
    </row>
    <row r="138" spans="19:32">
      <c r="S138" s="99"/>
      <c r="T138" s="99"/>
      <c r="U138" s="99"/>
      <c r="V138" s="99"/>
      <c r="W138" s="99"/>
      <c r="X138" s="99"/>
      <c r="Y138" s="99"/>
      <c r="Z138" s="99"/>
      <c r="AA138" s="99"/>
      <c r="AB138" s="99"/>
      <c r="AC138" s="99"/>
      <c r="AD138" s="99"/>
      <c r="AE138" s="99"/>
      <c r="AF138" s="99"/>
    </row>
    <row r="139" spans="19:32">
      <c r="S139" s="99"/>
      <c r="T139" s="99"/>
      <c r="U139" s="99"/>
      <c r="V139" s="99"/>
      <c r="W139" s="99"/>
      <c r="X139" s="99"/>
      <c r="Y139" s="99"/>
      <c r="Z139" s="99"/>
      <c r="AA139" s="99"/>
      <c r="AB139" s="99"/>
      <c r="AC139" s="99"/>
      <c r="AD139" s="99"/>
      <c r="AE139" s="99"/>
      <c r="AF139" s="99"/>
    </row>
    <row r="140" spans="19:32">
      <c r="S140" s="99"/>
      <c r="T140" s="99"/>
      <c r="U140" s="99"/>
      <c r="V140" s="99"/>
      <c r="W140" s="99"/>
      <c r="X140" s="99"/>
      <c r="Y140" s="99"/>
      <c r="Z140" s="99"/>
      <c r="AA140" s="99"/>
      <c r="AB140" s="99"/>
      <c r="AC140" s="99"/>
      <c r="AD140" s="99"/>
      <c r="AE140" s="99"/>
      <c r="AF140" s="99"/>
    </row>
    <row r="141" spans="19:32">
      <c r="S141" s="99"/>
      <c r="T141" s="99"/>
      <c r="U141" s="99"/>
      <c r="V141" s="99"/>
      <c r="W141" s="99"/>
      <c r="X141" s="99"/>
      <c r="Y141" s="99"/>
      <c r="Z141" s="99"/>
      <c r="AA141" s="99"/>
      <c r="AB141" s="99"/>
      <c r="AC141" s="99"/>
      <c r="AD141" s="99"/>
      <c r="AE141" s="99"/>
      <c r="AF141" s="99"/>
    </row>
    <row r="142" spans="19:32">
      <c r="S142" s="99"/>
      <c r="T142" s="99"/>
      <c r="U142" s="99"/>
      <c r="V142" s="99"/>
      <c r="W142" s="99"/>
      <c r="X142" s="99"/>
      <c r="Y142" s="99"/>
      <c r="Z142" s="99"/>
      <c r="AA142" s="99"/>
      <c r="AB142" s="99"/>
      <c r="AC142" s="99"/>
      <c r="AD142" s="99"/>
      <c r="AE142" s="99"/>
      <c r="AF142" s="99"/>
    </row>
    <row r="143" spans="19:32">
      <c r="S143" s="99"/>
      <c r="T143" s="99"/>
      <c r="U143" s="99"/>
      <c r="V143" s="99"/>
      <c r="W143" s="99"/>
      <c r="X143" s="99"/>
      <c r="Y143" s="99"/>
      <c r="Z143" s="99"/>
      <c r="AA143" s="99"/>
      <c r="AB143" s="99"/>
      <c r="AC143" s="99"/>
      <c r="AD143" s="99"/>
      <c r="AE143" s="99"/>
      <c r="AF143" s="99"/>
    </row>
    <row r="144" spans="19:32">
      <c r="S144" s="99"/>
      <c r="T144" s="99"/>
      <c r="U144" s="99"/>
      <c r="V144" s="99"/>
      <c r="W144" s="99"/>
      <c r="X144" s="99"/>
      <c r="Y144" s="99"/>
      <c r="Z144" s="99"/>
      <c r="AA144" s="99"/>
      <c r="AB144" s="99"/>
      <c r="AC144" s="99"/>
      <c r="AD144" s="99"/>
      <c r="AE144" s="99"/>
      <c r="AF144" s="99"/>
    </row>
    <row r="145" spans="19:32">
      <c r="S145" s="99"/>
      <c r="T145" s="99"/>
      <c r="U145" s="99"/>
      <c r="V145" s="99"/>
      <c r="W145" s="99"/>
      <c r="X145" s="99"/>
      <c r="Y145" s="99"/>
      <c r="Z145" s="99"/>
      <c r="AA145" s="99"/>
      <c r="AB145" s="99"/>
      <c r="AC145" s="99"/>
      <c r="AD145" s="99"/>
      <c r="AE145" s="99"/>
      <c r="AF145" s="99"/>
    </row>
    <row r="146" spans="19:32">
      <c r="S146" s="99"/>
      <c r="T146" s="99"/>
      <c r="U146" s="99"/>
      <c r="V146" s="99"/>
      <c r="W146" s="99"/>
      <c r="X146" s="99"/>
      <c r="Y146" s="99"/>
      <c r="Z146" s="99"/>
      <c r="AA146" s="99"/>
      <c r="AB146" s="99"/>
      <c r="AC146" s="99"/>
      <c r="AD146" s="99"/>
      <c r="AE146" s="99"/>
      <c r="AF146" s="99"/>
    </row>
    <row r="147" spans="19:32">
      <c r="S147" s="99"/>
      <c r="T147" s="99"/>
      <c r="U147" s="99"/>
      <c r="V147" s="99"/>
      <c r="W147" s="99"/>
      <c r="X147" s="99"/>
      <c r="Y147" s="99"/>
      <c r="Z147" s="99"/>
      <c r="AA147" s="99"/>
      <c r="AB147" s="99"/>
      <c r="AC147" s="99"/>
      <c r="AD147" s="99"/>
      <c r="AE147" s="99"/>
      <c r="AF147" s="99"/>
    </row>
    <row r="148" spans="19:32">
      <c r="S148" s="99"/>
      <c r="T148" s="99"/>
      <c r="U148" s="99"/>
      <c r="V148" s="99"/>
      <c r="W148" s="99"/>
      <c r="X148" s="99"/>
      <c r="Y148" s="99"/>
      <c r="Z148" s="99"/>
      <c r="AA148" s="99"/>
      <c r="AB148" s="99"/>
      <c r="AC148" s="99"/>
      <c r="AD148" s="99"/>
      <c r="AE148" s="99"/>
      <c r="AF148" s="99"/>
    </row>
    <row r="149" spans="19:32">
      <c r="S149" s="99"/>
      <c r="T149" s="99"/>
      <c r="U149" s="99"/>
      <c r="V149" s="99"/>
      <c r="W149" s="99"/>
      <c r="X149" s="99"/>
      <c r="Y149" s="99"/>
      <c r="Z149" s="99"/>
      <c r="AA149" s="99"/>
      <c r="AB149" s="99"/>
      <c r="AC149" s="99"/>
      <c r="AD149" s="99"/>
      <c r="AE149" s="99"/>
      <c r="AF149" s="99"/>
    </row>
    <row r="150" spans="19:32">
      <c r="S150" s="99"/>
      <c r="T150" s="99"/>
      <c r="U150" s="99"/>
      <c r="V150" s="99"/>
      <c r="W150" s="99"/>
      <c r="X150" s="99"/>
      <c r="Y150" s="99"/>
      <c r="Z150" s="99"/>
      <c r="AA150" s="99"/>
      <c r="AB150" s="99"/>
      <c r="AC150" s="99"/>
      <c r="AD150" s="99"/>
      <c r="AE150" s="99"/>
      <c r="AF150" s="99"/>
    </row>
    <row r="151" spans="19:32">
      <c r="S151" s="99"/>
      <c r="T151" s="99"/>
      <c r="U151" s="99"/>
      <c r="V151" s="99"/>
      <c r="W151" s="99"/>
      <c r="X151" s="99"/>
      <c r="Y151" s="99"/>
      <c r="Z151" s="99"/>
      <c r="AA151" s="99"/>
      <c r="AB151" s="99"/>
      <c r="AC151" s="99"/>
      <c r="AD151" s="99"/>
      <c r="AE151" s="99"/>
      <c r="AF151" s="99"/>
    </row>
    <row r="152" spans="19:32">
      <c r="S152" s="99"/>
      <c r="T152" s="99"/>
      <c r="U152" s="99"/>
      <c r="V152" s="99"/>
      <c r="W152" s="99"/>
      <c r="X152" s="99"/>
      <c r="Y152" s="99"/>
      <c r="Z152" s="99"/>
      <c r="AA152" s="99"/>
      <c r="AB152" s="99"/>
      <c r="AC152" s="99"/>
      <c r="AD152" s="99"/>
      <c r="AE152" s="99"/>
      <c r="AF152" s="99"/>
    </row>
    <row r="153" spans="19:32">
      <c r="S153" s="99"/>
      <c r="T153" s="99"/>
      <c r="U153" s="99"/>
      <c r="V153" s="99"/>
      <c r="W153" s="99"/>
      <c r="X153" s="99"/>
      <c r="Y153" s="99"/>
      <c r="Z153" s="99"/>
      <c r="AA153" s="99"/>
      <c r="AB153" s="99"/>
      <c r="AC153" s="99"/>
      <c r="AD153" s="99"/>
      <c r="AE153" s="99"/>
      <c r="AF153" s="99"/>
    </row>
    <row r="154" spans="19:32">
      <c r="S154" s="99"/>
      <c r="T154" s="99"/>
      <c r="U154" s="99"/>
      <c r="V154" s="99"/>
      <c r="W154" s="99"/>
      <c r="X154" s="99"/>
      <c r="Y154" s="99"/>
      <c r="Z154" s="99"/>
      <c r="AA154" s="99"/>
      <c r="AB154" s="99"/>
      <c r="AC154" s="99"/>
      <c r="AD154" s="99"/>
      <c r="AE154" s="99"/>
      <c r="AF154" s="99"/>
    </row>
    <row r="155" spans="19:32">
      <c r="S155" s="99"/>
      <c r="T155" s="99"/>
      <c r="U155" s="99"/>
      <c r="V155" s="99"/>
      <c r="W155" s="99"/>
      <c r="X155" s="99"/>
      <c r="Y155" s="99"/>
      <c r="Z155" s="99"/>
      <c r="AA155" s="99"/>
      <c r="AB155" s="99"/>
      <c r="AC155" s="99"/>
      <c r="AD155" s="99"/>
      <c r="AE155" s="99"/>
      <c r="AF155" s="99"/>
    </row>
    <row r="156" spans="19:32">
      <c r="S156" s="99"/>
      <c r="T156" s="220"/>
      <c r="U156" s="99"/>
      <c r="V156" s="99"/>
      <c r="W156" s="99"/>
      <c r="X156" s="99"/>
      <c r="Y156" s="99"/>
      <c r="Z156" s="99"/>
      <c r="AA156" s="99"/>
      <c r="AB156" s="99"/>
      <c r="AC156" s="99"/>
      <c r="AD156" s="99"/>
      <c r="AE156" s="99"/>
      <c r="AF156" s="99"/>
    </row>
    <row r="157" spans="19:32">
      <c r="S157" s="99"/>
      <c r="T157" s="99"/>
      <c r="U157" s="99"/>
      <c r="V157" s="99"/>
      <c r="W157" s="99"/>
      <c r="X157" s="99"/>
      <c r="Y157" s="99"/>
      <c r="Z157" s="99"/>
      <c r="AA157" s="99"/>
      <c r="AB157" s="99"/>
      <c r="AC157" s="99"/>
      <c r="AD157" s="99"/>
      <c r="AE157" s="99"/>
      <c r="AF157" s="99"/>
    </row>
    <row r="158" spans="19:32">
      <c r="S158" s="99"/>
      <c r="T158" s="99"/>
      <c r="U158" s="99"/>
      <c r="V158" s="99"/>
      <c r="W158" s="99"/>
      <c r="X158" s="99"/>
      <c r="Y158" s="99"/>
      <c r="Z158" s="99"/>
      <c r="AA158" s="99"/>
      <c r="AB158" s="99"/>
      <c r="AC158" s="99"/>
      <c r="AD158" s="99"/>
      <c r="AE158" s="99"/>
      <c r="AF158" s="99"/>
    </row>
    <row r="159" spans="19:32">
      <c r="S159" s="99"/>
      <c r="T159" s="99"/>
      <c r="U159" s="99"/>
      <c r="V159" s="99"/>
      <c r="W159" s="99"/>
      <c r="X159" s="99"/>
      <c r="Y159" s="99"/>
      <c r="Z159" s="99"/>
      <c r="AA159" s="99"/>
      <c r="AB159" s="99"/>
      <c r="AC159" s="99"/>
      <c r="AD159" s="99"/>
      <c r="AE159" s="99"/>
      <c r="AF159" s="99"/>
    </row>
    <row r="160" spans="19:32">
      <c r="S160" s="99"/>
      <c r="T160" s="99"/>
      <c r="U160" s="99"/>
      <c r="V160" s="99"/>
      <c r="W160" s="99"/>
      <c r="X160" s="99"/>
      <c r="Y160" s="99"/>
      <c r="Z160" s="99"/>
      <c r="AA160" s="99"/>
      <c r="AB160" s="99"/>
      <c r="AC160" s="99"/>
      <c r="AD160" s="99"/>
      <c r="AE160" s="99"/>
      <c r="AF160" s="99"/>
    </row>
    <row r="161" spans="19:32">
      <c r="S161" s="99"/>
      <c r="T161" s="99"/>
      <c r="U161" s="99"/>
      <c r="V161" s="99"/>
      <c r="W161" s="99"/>
      <c r="X161" s="99"/>
      <c r="Y161" s="99"/>
      <c r="Z161" s="99"/>
      <c r="AA161" s="99"/>
      <c r="AB161" s="99"/>
      <c r="AC161" s="99"/>
      <c r="AD161" s="99"/>
      <c r="AE161" s="99"/>
      <c r="AF161" s="99"/>
    </row>
    <row r="162" spans="19:32">
      <c r="S162" s="99"/>
      <c r="T162" s="99"/>
      <c r="U162" s="99"/>
      <c r="V162" s="99"/>
      <c r="W162" s="99"/>
      <c r="X162" s="99"/>
      <c r="Y162" s="99"/>
      <c r="Z162" s="99"/>
      <c r="AA162" s="99"/>
      <c r="AB162" s="99"/>
      <c r="AC162" s="99"/>
      <c r="AD162" s="99"/>
      <c r="AE162" s="99"/>
      <c r="AF162" s="99"/>
    </row>
    <row r="163" spans="19:32">
      <c r="S163" s="99"/>
      <c r="T163" s="99"/>
      <c r="U163" s="99"/>
      <c r="V163" s="99"/>
      <c r="W163" s="99"/>
      <c r="X163" s="99"/>
      <c r="Y163" s="99"/>
      <c r="Z163" s="99"/>
      <c r="AA163" s="99"/>
      <c r="AB163" s="99"/>
      <c r="AC163" s="99"/>
      <c r="AD163" s="99"/>
      <c r="AE163" s="99"/>
      <c r="AF163" s="99"/>
    </row>
    <row r="164" spans="19:32">
      <c r="S164" s="99"/>
      <c r="T164" s="99"/>
      <c r="U164" s="99"/>
      <c r="V164" s="99"/>
      <c r="W164" s="99"/>
      <c r="X164" s="99"/>
      <c r="Y164" s="99"/>
      <c r="Z164" s="99"/>
      <c r="AA164" s="99"/>
      <c r="AB164" s="99"/>
      <c r="AC164" s="99"/>
      <c r="AD164" s="99"/>
      <c r="AE164" s="99"/>
      <c r="AF164" s="99"/>
    </row>
    <row r="165" spans="19:32">
      <c r="S165" s="99"/>
      <c r="T165" s="99"/>
      <c r="U165" s="99"/>
      <c r="V165" s="99"/>
      <c r="W165" s="99"/>
      <c r="X165" s="99"/>
      <c r="Y165" s="99"/>
      <c r="Z165" s="99"/>
      <c r="AA165" s="99"/>
      <c r="AB165" s="99"/>
      <c r="AC165" s="99"/>
      <c r="AD165" s="99"/>
      <c r="AE165" s="99"/>
      <c r="AF165" s="99"/>
    </row>
    <row r="166" spans="19:32">
      <c r="S166" s="99"/>
      <c r="T166" s="99"/>
      <c r="U166" s="99"/>
      <c r="V166" s="99"/>
      <c r="W166" s="99"/>
      <c r="X166" s="99"/>
      <c r="Y166" s="99"/>
      <c r="Z166" s="99"/>
      <c r="AA166" s="99"/>
      <c r="AB166" s="99"/>
      <c r="AC166" s="99"/>
      <c r="AD166" s="99"/>
      <c r="AE166" s="99"/>
      <c r="AF166" s="99"/>
    </row>
    <row r="167" spans="19:32">
      <c r="S167" s="99"/>
      <c r="T167" s="99"/>
      <c r="U167" s="99"/>
      <c r="V167" s="99"/>
      <c r="W167" s="99"/>
      <c r="X167" s="99"/>
      <c r="Y167" s="99"/>
      <c r="Z167" s="99"/>
      <c r="AA167" s="99"/>
      <c r="AB167" s="99"/>
      <c r="AC167" s="99"/>
      <c r="AD167" s="99"/>
      <c r="AE167" s="99"/>
      <c r="AF167" s="99"/>
    </row>
    <row r="168" spans="19:32">
      <c r="S168" s="99"/>
      <c r="T168" s="99"/>
      <c r="U168" s="99"/>
      <c r="V168" s="99"/>
      <c r="W168" s="99"/>
      <c r="X168" s="99"/>
      <c r="Y168" s="99"/>
      <c r="Z168" s="99"/>
      <c r="AA168" s="99"/>
      <c r="AB168" s="99"/>
      <c r="AC168" s="99"/>
      <c r="AD168" s="99"/>
      <c r="AE168" s="99"/>
      <c r="AF168" s="99"/>
    </row>
    <row r="169" spans="19:32">
      <c r="S169" s="99"/>
      <c r="T169" s="99"/>
      <c r="U169" s="99"/>
      <c r="V169" s="99"/>
      <c r="W169" s="99"/>
      <c r="X169" s="99"/>
      <c r="Y169" s="99"/>
      <c r="Z169" s="99"/>
      <c r="AA169" s="99"/>
      <c r="AB169" s="99"/>
      <c r="AC169" s="99"/>
      <c r="AD169" s="99"/>
      <c r="AE169" s="99"/>
      <c r="AF169" s="99"/>
    </row>
    <row r="170" spans="19:32">
      <c r="S170" s="99"/>
      <c r="T170" s="99"/>
      <c r="U170" s="99"/>
      <c r="V170" s="99"/>
      <c r="W170" s="99"/>
      <c r="X170" s="99"/>
      <c r="Y170" s="99"/>
      <c r="Z170" s="99"/>
      <c r="AA170" s="99"/>
      <c r="AB170" s="99"/>
      <c r="AC170" s="99"/>
      <c r="AD170" s="99"/>
      <c r="AE170" s="99"/>
      <c r="AF170" s="99"/>
    </row>
    <row r="171" spans="19:32">
      <c r="S171" s="99"/>
      <c r="T171" s="99"/>
      <c r="U171" s="99"/>
      <c r="V171" s="99"/>
      <c r="W171" s="99"/>
      <c r="X171" s="99"/>
      <c r="Y171" s="99"/>
      <c r="Z171" s="99"/>
      <c r="AA171" s="99"/>
      <c r="AB171" s="99"/>
      <c r="AC171" s="99"/>
      <c r="AD171" s="99"/>
      <c r="AE171" s="99"/>
      <c r="AF171" s="99"/>
    </row>
    <row r="172" spans="19:32">
      <c r="S172" s="99"/>
      <c r="T172" s="99"/>
      <c r="U172" s="99"/>
      <c r="V172" s="99"/>
      <c r="W172" s="99"/>
      <c r="X172" s="99"/>
      <c r="Y172" s="99"/>
      <c r="Z172" s="99"/>
      <c r="AA172" s="99"/>
      <c r="AB172" s="99"/>
      <c r="AC172" s="99"/>
      <c r="AD172" s="99"/>
      <c r="AE172" s="99"/>
      <c r="AF172" s="99"/>
    </row>
    <row r="173" spans="19:32">
      <c r="S173" s="99"/>
      <c r="T173" s="99"/>
      <c r="U173" s="99"/>
      <c r="V173" s="99"/>
      <c r="W173" s="99"/>
      <c r="X173" s="99"/>
      <c r="Y173" s="99"/>
      <c r="Z173" s="99"/>
      <c r="AA173" s="99"/>
      <c r="AB173" s="99"/>
      <c r="AC173" s="99"/>
      <c r="AD173" s="99"/>
      <c r="AE173" s="99"/>
      <c r="AF173" s="99"/>
    </row>
    <row r="174" spans="19:32">
      <c r="S174" s="99"/>
      <c r="T174" s="99"/>
      <c r="U174" s="99"/>
      <c r="V174" s="99"/>
      <c r="W174" s="99"/>
      <c r="X174" s="99"/>
      <c r="Y174" s="99"/>
      <c r="Z174" s="99"/>
      <c r="AA174" s="99"/>
      <c r="AB174" s="99"/>
      <c r="AC174" s="99"/>
      <c r="AD174" s="99"/>
      <c r="AE174" s="99"/>
      <c r="AF174" s="99"/>
    </row>
    <row r="175" spans="19:32">
      <c r="S175" s="99"/>
      <c r="T175" s="99"/>
      <c r="U175" s="99"/>
      <c r="V175" s="99"/>
      <c r="W175" s="99"/>
      <c r="X175" s="99"/>
      <c r="Y175" s="99"/>
      <c r="Z175" s="99"/>
      <c r="AA175" s="99"/>
      <c r="AB175" s="99"/>
      <c r="AC175" s="99"/>
      <c r="AD175" s="99"/>
      <c r="AE175" s="99"/>
      <c r="AF175" s="99"/>
    </row>
    <row r="176" spans="19:32">
      <c r="S176" s="99"/>
      <c r="T176" s="99"/>
      <c r="U176" s="99"/>
      <c r="V176" s="99"/>
      <c r="W176" s="99"/>
      <c r="X176" s="99"/>
      <c r="Y176" s="99"/>
      <c r="Z176" s="99"/>
      <c r="AA176" s="99"/>
      <c r="AB176" s="99"/>
      <c r="AC176" s="99"/>
      <c r="AD176" s="99"/>
      <c r="AE176" s="99"/>
      <c r="AF176" s="99"/>
    </row>
    <row r="177" spans="19:32">
      <c r="S177" s="99"/>
      <c r="T177" s="99"/>
      <c r="U177" s="99"/>
      <c r="V177" s="99"/>
      <c r="W177" s="99"/>
      <c r="X177" s="99"/>
      <c r="Y177" s="99"/>
      <c r="Z177" s="99"/>
      <c r="AA177" s="99"/>
      <c r="AB177" s="99"/>
      <c r="AC177" s="99"/>
      <c r="AD177" s="99"/>
      <c r="AE177" s="99"/>
      <c r="AF177" s="99"/>
    </row>
    <row r="178" spans="19:32">
      <c r="S178" s="99"/>
      <c r="T178" s="99"/>
      <c r="U178" s="99"/>
      <c r="V178" s="99"/>
      <c r="W178" s="99"/>
      <c r="X178" s="99"/>
      <c r="Y178" s="99"/>
      <c r="Z178" s="99"/>
      <c r="AA178" s="99"/>
      <c r="AB178" s="99"/>
      <c r="AC178" s="99"/>
      <c r="AD178" s="99"/>
      <c r="AE178" s="99"/>
      <c r="AF178" s="99"/>
    </row>
    <row r="179" spans="19:32">
      <c r="S179" s="99"/>
      <c r="T179" s="99"/>
      <c r="U179" s="99"/>
      <c r="V179" s="99"/>
      <c r="W179" s="99"/>
      <c r="X179" s="99"/>
      <c r="Y179" s="99"/>
      <c r="Z179" s="99"/>
      <c r="AA179" s="99"/>
      <c r="AB179" s="99"/>
      <c r="AC179" s="99"/>
      <c r="AD179" s="99"/>
      <c r="AE179" s="99"/>
      <c r="AF179" s="99"/>
    </row>
    <row r="180" spans="19:32">
      <c r="S180" s="99"/>
      <c r="T180" s="99"/>
      <c r="U180" s="99"/>
      <c r="V180" s="99"/>
      <c r="W180" s="99"/>
      <c r="X180" s="99"/>
      <c r="Y180" s="99"/>
      <c r="Z180" s="99"/>
      <c r="AA180" s="99"/>
      <c r="AB180" s="99"/>
      <c r="AC180" s="99"/>
      <c r="AD180" s="99"/>
      <c r="AE180" s="99"/>
      <c r="AF180" s="99"/>
    </row>
    <row r="181" spans="19:32">
      <c r="S181" s="99"/>
      <c r="T181" s="99"/>
      <c r="U181" s="99"/>
      <c r="V181" s="99"/>
      <c r="W181" s="99"/>
      <c r="X181" s="99"/>
      <c r="Y181" s="99"/>
      <c r="Z181" s="99"/>
      <c r="AA181" s="99"/>
      <c r="AB181" s="99"/>
      <c r="AC181" s="99"/>
      <c r="AD181" s="99"/>
      <c r="AE181" s="99"/>
      <c r="AF181" s="99"/>
    </row>
    <row r="182" spans="19:32">
      <c r="S182" s="99"/>
      <c r="T182" s="99"/>
      <c r="U182" s="99"/>
      <c r="V182" s="99"/>
      <c r="W182" s="99"/>
      <c r="X182" s="99"/>
      <c r="Y182" s="99"/>
      <c r="Z182" s="99"/>
      <c r="AA182" s="99"/>
      <c r="AB182" s="99"/>
      <c r="AC182" s="99"/>
      <c r="AD182" s="99"/>
      <c r="AE182" s="99"/>
      <c r="AF182" s="99"/>
    </row>
    <row r="183" spans="19:32">
      <c r="S183" s="99"/>
      <c r="T183" s="99"/>
      <c r="U183" s="99"/>
      <c r="V183" s="99"/>
      <c r="W183" s="99"/>
      <c r="X183" s="99"/>
      <c r="Y183" s="99"/>
      <c r="Z183" s="99"/>
      <c r="AA183" s="99"/>
      <c r="AB183" s="99"/>
      <c r="AC183" s="99"/>
      <c r="AD183" s="99"/>
      <c r="AE183" s="99"/>
      <c r="AF183" s="99"/>
    </row>
    <row r="184" spans="19:32">
      <c r="S184" s="99"/>
      <c r="T184" s="99"/>
      <c r="U184" s="99"/>
      <c r="V184" s="99"/>
      <c r="W184" s="99"/>
      <c r="X184" s="99"/>
      <c r="Y184" s="99"/>
      <c r="Z184" s="99"/>
      <c r="AA184" s="99"/>
      <c r="AB184" s="99"/>
      <c r="AC184" s="99"/>
      <c r="AD184" s="99"/>
      <c r="AE184" s="99"/>
      <c r="AF184" s="99"/>
    </row>
    <row r="185" spans="19:32">
      <c r="S185" s="99"/>
      <c r="T185" s="99"/>
      <c r="U185" s="99"/>
      <c r="V185" s="99"/>
      <c r="W185" s="99"/>
      <c r="X185" s="99"/>
      <c r="Y185" s="99"/>
      <c r="Z185" s="99"/>
      <c r="AA185" s="99"/>
      <c r="AB185" s="99"/>
      <c r="AC185" s="99"/>
      <c r="AD185" s="99"/>
      <c r="AE185" s="99"/>
      <c r="AF185" s="99"/>
    </row>
    <row r="186" spans="19:32">
      <c r="S186" s="99"/>
      <c r="T186" s="99"/>
      <c r="U186" s="99"/>
      <c r="V186" s="99"/>
      <c r="W186" s="99"/>
      <c r="X186" s="99"/>
      <c r="Y186" s="99"/>
      <c r="Z186" s="99"/>
      <c r="AA186" s="99"/>
      <c r="AB186" s="99"/>
      <c r="AC186" s="99"/>
      <c r="AD186" s="99"/>
      <c r="AE186" s="99"/>
      <c r="AF186" s="99"/>
    </row>
    <row r="187" spans="19:32">
      <c r="S187" s="99"/>
      <c r="T187" s="99"/>
      <c r="U187" s="99"/>
      <c r="V187" s="99"/>
      <c r="W187" s="99"/>
      <c r="X187" s="99"/>
      <c r="Y187" s="99"/>
      <c r="Z187" s="99"/>
      <c r="AA187" s="99"/>
      <c r="AB187" s="99"/>
      <c r="AC187" s="99"/>
      <c r="AD187" s="99"/>
      <c r="AE187" s="99"/>
      <c r="AF187" s="99"/>
    </row>
    <row r="188" spans="19:32">
      <c r="S188" s="99"/>
      <c r="T188" s="99"/>
      <c r="U188" s="99"/>
      <c r="V188" s="99"/>
      <c r="W188" s="99"/>
      <c r="X188" s="99"/>
      <c r="Y188" s="99"/>
      <c r="Z188" s="99"/>
      <c r="AA188" s="99"/>
      <c r="AB188" s="99"/>
      <c r="AC188" s="99"/>
      <c r="AD188" s="99"/>
      <c r="AE188" s="99"/>
      <c r="AF188" s="99"/>
    </row>
    <row r="189" spans="19:32">
      <c r="S189" s="99"/>
      <c r="T189" s="99"/>
      <c r="U189" s="99"/>
      <c r="V189" s="99"/>
      <c r="W189" s="99"/>
      <c r="X189" s="99"/>
      <c r="Y189" s="99"/>
      <c r="Z189" s="99"/>
      <c r="AA189" s="99"/>
      <c r="AB189" s="99"/>
      <c r="AC189" s="99"/>
      <c r="AD189" s="99"/>
      <c r="AE189" s="99"/>
      <c r="AF189" s="99"/>
    </row>
    <row r="190" spans="19:32">
      <c r="S190" s="99"/>
      <c r="T190" s="99"/>
      <c r="U190" s="99"/>
      <c r="V190" s="99"/>
      <c r="W190" s="99"/>
      <c r="X190" s="99"/>
      <c r="Y190" s="99"/>
      <c r="Z190" s="99"/>
      <c r="AA190" s="99"/>
      <c r="AB190" s="99"/>
      <c r="AC190" s="99"/>
      <c r="AD190" s="99"/>
      <c r="AE190" s="99"/>
      <c r="AF190" s="99"/>
    </row>
    <row r="191" spans="19:32">
      <c r="S191" s="99"/>
      <c r="T191" s="99"/>
      <c r="U191" s="99"/>
      <c r="V191" s="99"/>
      <c r="W191" s="99"/>
      <c r="X191" s="99"/>
      <c r="Y191" s="99"/>
      <c r="Z191" s="99"/>
      <c r="AA191" s="99"/>
      <c r="AB191" s="99"/>
      <c r="AC191" s="99"/>
      <c r="AD191" s="99"/>
      <c r="AE191" s="99"/>
      <c r="AF191" s="99"/>
    </row>
  </sheetData>
  <mergeCells count="8">
    <mergeCell ref="X33:AB35"/>
    <mergeCell ref="N33:R33"/>
    <mergeCell ref="C2:E2"/>
    <mergeCell ref="C10:E10"/>
    <mergeCell ref="K2:L2"/>
    <mergeCell ref="K13:L13"/>
    <mergeCell ref="C22:E22"/>
    <mergeCell ref="K19:L19"/>
  </mergeCells>
  <pageMargins left="0.7" right="0.7" top="0.75" bottom="0.75"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A4" zoomScale="97" zoomScaleNormal="100" workbookViewId="0">
      <selection activeCell="H30" sqref="H30"/>
    </sheetView>
  </sheetViews>
  <sheetFormatPr defaultRowHeight="15"/>
  <sheetData/>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U41"/>
  <sheetViews>
    <sheetView zoomScaleNormal="100" workbookViewId="0">
      <selection activeCell="K4" sqref="K4"/>
    </sheetView>
  </sheetViews>
  <sheetFormatPr defaultRowHeight="15"/>
  <cols>
    <col min="2" max="2" width="40.28515625" customWidth="1"/>
    <col min="8" max="8" width="14" customWidth="1"/>
    <col min="9" max="9" width="17.140625" customWidth="1"/>
    <col min="10" max="10" width="12.7109375" customWidth="1"/>
    <col min="11" max="11" width="9.5703125" bestFit="1" customWidth="1"/>
    <col min="15" max="15" width="2.140625" customWidth="1"/>
    <col min="16" max="16" width="13.42578125" customWidth="1"/>
    <col min="17" max="17" width="11.85546875" customWidth="1"/>
    <col min="18" max="18" width="14.7109375" customWidth="1"/>
    <col min="19" max="19" width="12" customWidth="1"/>
    <col min="20" max="20" width="15" customWidth="1"/>
    <col min="21" max="21" width="15.5703125" customWidth="1"/>
  </cols>
  <sheetData>
    <row r="1" spans="2:17" ht="15.75" thickBot="1"/>
    <row r="2" spans="2:17" ht="15.75" customHeight="1">
      <c r="B2" s="428" t="s">
        <v>398</v>
      </c>
      <c r="C2" s="429">
        <v>500</v>
      </c>
      <c r="D2" s="430"/>
      <c r="H2" s="431" t="s">
        <v>37</v>
      </c>
      <c r="I2" s="431" t="s">
        <v>26</v>
      </c>
      <c r="J2" s="431" t="s">
        <v>126</v>
      </c>
      <c r="K2" s="431" t="s">
        <v>398</v>
      </c>
    </row>
    <row r="3" spans="2:17">
      <c r="B3" s="432" t="s">
        <v>236</v>
      </c>
      <c r="C3" s="433">
        <v>250</v>
      </c>
      <c r="D3" s="434"/>
      <c r="H3" s="435">
        <f>M13</f>
        <v>60</v>
      </c>
      <c r="I3" s="436">
        <f>M14</f>
        <v>6000</v>
      </c>
      <c r="J3" s="436">
        <f>M15</f>
        <v>26</v>
      </c>
      <c r="K3" s="56">
        <v>500</v>
      </c>
    </row>
    <row r="4" spans="2:17" ht="15.75">
      <c r="B4" s="432" t="s">
        <v>399</v>
      </c>
      <c r="C4" s="433">
        <v>6000</v>
      </c>
      <c r="D4" s="437" t="s">
        <v>400</v>
      </c>
      <c r="H4" s="438">
        <v>58</v>
      </c>
      <c r="I4" s="439">
        <f>M14*(H4/M13)</f>
        <v>5800</v>
      </c>
      <c r="J4" s="439">
        <f>M15*(H4/M13)^2</f>
        <v>24.295555555555556</v>
      </c>
      <c r="K4" s="846">
        <f>((J4*C6)-C12-C13)*C14/2.31</f>
        <v>424.13629629629634</v>
      </c>
    </row>
    <row r="5" spans="2:17" ht="15.75">
      <c r="B5" s="432" t="s">
        <v>384</v>
      </c>
      <c r="C5" s="433">
        <v>3778</v>
      </c>
      <c r="D5" s="437" t="s">
        <v>367</v>
      </c>
      <c r="H5" s="440">
        <v>55</v>
      </c>
      <c r="I5" s="439">
        <f>M14*(H5/M13)</f>
        <v>5500</v>
      </c>
      <c r="J5" s="439">
        <f>M15*(H5/M13)^2</f>
        <v>21.847222222222221</v>
      </c>
      <c r="K5" s="846">
        <f>((J5*C6)-C12-C13)*C14/2.31</f>
        <v>306.53150553150545</v>
      </c>
    </row>
    <row r="6" spans="2:17" ht="15.75">
      <c r="B6" s="432" t="s">
        <v>387</v>
      </c>
      <c r="C6" s="433">
        <v>146</v>
      </c>
      <c r="D6" s="437" t="s">
        <v>84</v>
      </c>
      <c r="H6" s="440">
        <v>52</v>
      </c>
      <c r="I6" s="439">
        <f>M14*(H6/M13)</f>
        <v>5200</v>
      </c>
      <c r="J6" s="439">
        <f>M15*(H6/M13)^2</f>
        <v>19.52888888888889</v>
      </c>
      <c r="K6" s="846">
        <f>((J6*C6)-C12-C13)*C14/2.31</f>
        <v>195.17121693121697</v>
      </c>
    </row>
    <row r="7" spans="2:17" ht="15.75">
      <c r="B7" s="432" t="s">
        <v>401</v>
      </c>
      <c r="C7" s="441">
        <f>C5/C6</f>
        <v>25.876712328767123</v>
      </c>
      <c r="D7" s="437" t="s">
        <v>402</v>
      </c>
      <c r="H7" s="440">
        <v>50</v>
      </c>
      <c r="I7" s="439">
        <f>M14*(H7/M13)</f>
        <v>5000</v>
      </c>
      <c r="J7" s="439">
        <f>M15*(H7/M13)^2</f>
        <v>18.055555555555557</v>
      </c>
      <c r="K7" s="846">
        <f>((J7*C6)-C12-C13)*C14/2.31</f>
        <v>124.40019240019245</v>
      </c>
    </row>
    <row r="8" spans="2:17" ht="15.75">
      <c r="B8" s="432" t="s">
        <v>403</v>
      </c>
      <c r="C8" s="441">
        <f>C7/3.28</f>
        <v>7.8892415636485138</v>
      </c>
      <c r="D8" s="437" t="s">
        <v>404</v>
      </c>
      <c r="H8" s="440">
        <v>48</v>
      </c>
      <c r="I8" s="439">
        <f>M14*(H8/M13)</f>
        <v>4800</v>
      </c>
      <c r="J8" s="439">
        <f>M15*(H8/M13)^2</f>
        <v>16.640000000000004</v>
      </c>
      <c r="K8" s="846">
        <f>((J8*C6)-C12-C13)*C14/2.31</f>
        <v>56.404502164502333</v>
      </c>
    </row>
    <row r="9" spans="2:17" ht="16.5" thickBot="1">
      <c r="B9" s="442" t="s">
        <v>405</v>
      </c>
      <c r="C9" s="443">
        <f>C4/6.289</f>
        <v>954.0467482906663</v>
      </c>
      <c r="D9" s="444" t="s">
        <v>406</v>
      </c>
      <c r="H9" s="445">
        <v>45</v>
      </c>
      <c r="I9" s="439">
        <f>M14*(H9/M13)</f>
        <v>4500</v>
      </c>
      <c r="J9" s="439">
        <f>M15*(H9/M13)^2</f>
        <v>14.625</v>
      </c>
      <c r="K9" s="846">
        <f>((J9*C6)-C12-C13)*C14/2.31</f>
        <v>-40.385281385281388</v>
      </c>
    </row>
    <row r="10" spans="2:17" ht="30.75" customHeight="1" thickBot="1">
      <c r="B10" s="446" t="s">
        <v>407</v>
      </c>
      <c r="C10" s="433">
        <v>26</v>
      </c>
      <c r="D10" s="437"/>
      <c r="G10" s="447" t="s">
        <v>408</v>
      </c>
      <c r="H10" s="448" t="s">
        <v>409</v>
      </c>
      <c r="I10" s="448" t="s">
        <v>410</v>
      </c>
      <c r="J10" s="449" t="s">
        <v>411</v>
      </c>
      <c r="K10" s="450" t="s">
        <v>412</v>
      </c>
    </row>
    <row r="11" spans="2:17" ht="15.75" thickBot="1">
      <c r="B11" s="446" t="s">
        <v>413</v>
      </c>
      <c r="C11" s="441">
        <f>C10*C6</f>
        <v>3796</v>
      </c>
      <c r="D11" s="437" t="s">
        <v>8</v>
      </c>
      <c r="G11" s="451">
        <v>4</v>
      </c>
      <c r="H11" s="452">
        <v>2</v>
      </c>
      <c r="I11" s="453">
        <v>5</v>
      </c>
      <c r="J11" s="452">
        <v>4</v>
      </c>
      <c r="K11" s="454">
        <f>((G11/I11)*H11)+J11</f>
        <v>5.6</v>
      </c>
    </row>
    <row r="12" spans="2:17" ht="16.5" thickBot="1">
      <c r="B12" s="446" t="s">
        <v>414</v>
      </c>
      <c r="C12" s="433">
        <v>1848</v>
      </c>
      <c r="D12" s="437" t="s">
        <v>8</v>
      </c>
      <c r="G12" s="455"/>
    </row>
    <row r="13" spans="2:17">
      <c r="B13" s="446" t="s">
        <v>415</v>
      </c>
      <c r="C13" s="433">
        <v>410</v>
      </c>
      <c r="D13" s="437" t="s">
        <v>8</v>
      </c>
      <c r="G13" s="1134" t="s">
        <v>416</v>
      </c>
      <c r="H13" s="1135"/>
      <c r="I13" s="456">
        <v>58</v>
      </c>
      <c r="J13" s="457" t="s">
        <v>37</v>
      </c>
      <c r="K13" s="1135" t="s">
        <v>417</v>
      </c>
      <c r="L13" s="1135"/>
      <c r="M13" s="456">
        <v>60</v>
      </c>
      <c r="N13" s="458" t="s">
        <v>37</v>
      </c>
      <c r="P13" s="459" t="s">
        <v>418</v>
      </c>
      <c r="Q13" s="460">
        <v>273</v>
      </c>
    </row>
    <row r="14" spans="2:17">
      <c r="B14" s="446" t="s">
        <v>390</v>
      </c>
      <c r="C14" s="433">
        <v>0.76</v>
      </c>
      <c r="D14" s="437"/>
      <c r="G14" s="1136" t="s">
        <v>419</v>
      </c>
      <c r="H14" s="1137"/>
      <c r="I14" s="435">
        <f>M14*(I13/M13)</f>
        <v>5800</v>
      </c>
      <c r="J14" s="461" t="s">
        <v>400</v>
      </c>
      <c r="K14" s="1137" t="s">
        <v>420</v>
      </c>
      <c r="L14" s="1137"/>
      <c r="M14" s="462">
        <v>6000</v>
      </c>
      <c r="N14" s="463" t="s">
        <v>400</v>
      </c>
      <c r="P14" s="459" t="s">
        <v>421</v>
      </c>
      <c r="Q14" s="460">
        <v>238.02</v>
      </c>
    </row>
    <row r="15" spans="2:17" ht="16.5" customHeight="1" thickBot="1">
      <c r="B15" s="446" t="s">
        <v>243</v>
      </c>
      <c r="C15" s="441">
        <f>C11-C12-C13</f>
        <v>1538</v>
      </c>
      <c r="D15" s="437" t="s">
        <v>8</v>
      </c>
      <c r="G15" s="1138" t="s">
        <v>422</v>
      </c>
      <c r="H15" s="1139"/>
      <c r="I15" s="464">
        <f>M15*(I13/M13)^2</f>
        <v>24.295555555555556</v>
      </c>
      <c r="J15" s="465" t="s">
        <v>367</v>
      </c>
      <c r="K15" s="1139" t="s">
        <v>126</v>
      </c>
      <c r="L15" s="1139"/>
      <c r="M15" s="466">
        <v>26</v>
      </c>
      <c r="N15" s="467" t="s">
        <v>367</v>
      </c>
      <c r="P15" s="459" t="s">
        <v>423</v>
      </c>
      <c r="Q15" s="468">
        <f>60*(Q13/Q14)^0.5</f>
        <v>64.257799405767798</v>
      </c>
    </row>
    <row r="16" spans="2:17" ht="15.75" customHeight="1">
      <c r="B16" s="432"/>
      <c r="C16" s="441">
        <f>C14*C15/2.31</f>
        <v>506.00865800865802</v>
      </c>
      <c r="D16" s="437" t="s">
        <v>90</v>
      </c>
    </row>
    <row r="17" spans="12:21" ht="15.75" customHeight="1"/>
    <row r="18" spans="12:21" ht="15.75" customHeight="1"/>
    <row r="19" spans="12:21" ht="15.75" customHeight="1"/>
    <row r="20" spans="12:21" ht="16.5" customHeight="1"/>
    <row r="21" spans="12:21">
      <c r="L21" s="1133" t="s">
        <v>424</v>
      </c>
      <c r="M21" s="1133"/>
      <c r="N21" s="1133"/>
      <c r="O21" s="1133"/>
      <c r="P21" s="1133"/>
      <c r="Q21" s="1133"/>
      <c r="R21" s="1133"/>
      <c r="S21" s="1133"/>
      <c r="T21" s="1133"/>
      <c r="U21" s="1133"/>
    </row>
    <row r="22" spans="12:21">
      <c r="L22" s="1133"/>
      <c r="M22" s="1133"/>
      <c r="N22" s="1133"/>
      <c r="O22" s="1133"/>
      <c r="P22" s="1133"/>
      <c r="Q22" s="1133"/>
      <c r="R22" s="1133"/>
      <c r="S22" s="1133"/>
      <c r="T22" s="1133"/>
      <c r="U22" s="1133"/>
    </row>
    <row r="23" spans="12:21">
      <c r="L23" s="1133"/>
      <c r="M23" s="1133"/>
      <c r="N23" s="1133"/>
      <c r="O23" s="1133"/>
      <c r="P23" s="1133"/>
      <c r="Q23" s="1133"/>
      <c r="R23" s="1133"/>
      <c r="S23" s="1133"/>
      <c r="T23" s="1133"/>
      <c r="U23" s="1133"/>
    </row>
    <row r="24" spans="12:21">
      <c r="L24" s="1133"/>
      <c r="M24" s="1133"/>
      <c r="N24" s="1133"/>
      <c r="O24" s="1133"/>
      <c r="P24" s="1133"/>
      <c r="Q24" s="1133"/>
      <c r="R24" s="1133"/>
      <c r="S24" s="1133"/>
      <c r="T24" s="1133"/>
      <c r="U24" s="1133"/>
    </row>
    <row r="25" spans="12:21">
      <c r="L25" s="1133"/>
      <c r="M25" s="1133"/>
      <c r="N25" s="1133"/>
      <c r="O25" s="1133"/>
      <c r="P25" s="1133"/>
      <c r="Q25" s="1133"/>
      <c r="R25" s="1133"/>
      <c r="S25" s="1133"/>
      <c r="T25" s="1133"/>
      <c r="U25" s="1133"/>
    </row>
    <row r="26" spans="12:21">
      <c r="L26" s="1133"/>
      <c r="M26" s="1133"/>
      <c r="N26" s="1133"/>
      <c r="O26" s="1133"/>
      <c r="P26" s="1133"/>
      <c r="Q26" s="1133"/>
      <c r="R26" s="1133"/>
      <c r="S26" s="1133"/>
      <c r="T26" s="1133"/>
      <c r="U26" s="1133"/>
    </row>
    <row r="27" spans="12:21">
      <c r="L27" s="1133"/>
      <c r="M27" s="1133"/>
      <c r="N27" s="1133"/>
      <c r="O27" s="1133"/>
      <c r="P27" s="1133"/>
      <c r="Q27" s="1133"/>
      <c r="R27" s="1133"/>
      <c r="S27" s="1133"/>
      <c r="T27" s="1133"/>
      <c r="U27" s="1133"/>
    </row>
    <row r="28" spans="12:21">
      <c r="L28" s="1133"/>
      <c r="M28" s="1133"/>
      <c r="N28" s="1133"/>
      <c r="O28" s="1133"/>
      <c r="P28" s="1133"/>
      <c r="Q28" s="1133"/>
      <c r="R28" s="1133"/>
      <c r="S28" s="1133"/>
      <c r="T28" s="1133"/>
      <c r="U28" s="1133"/>
    </row>
    <row r="29" spans="12:21">
      <c r="L29" s="1133"/>
      <c r="M29" s="1133"/>
      <c r="N29" s="1133"/>
      <c r="O29" s="1133"/>
      <c r="P29" s="1133"/>
      <c r="Q29" s="1133"/>
      <c r="R29" s="1133"/>
      <c r="S29" s="1133"/>
      <c r="T29" s="1133"/>
      <c r="U29" s="1133"/>
    </row>
    <row r="30" spans="12:21">
      <c r="L30" s="1133"/>
      <c r="M30" s="1133"/>
      <c r="N30" s="1133"/>
      <c r="O30" s="1133"/>
      <c r="P30" s="1133"/>
      <c r="Q30" s="1133"/>
      <c r="R30" s="1133"/>
      <c r="S30" s="1133"/>
      <c r="T30" s="1133"/>
      <c r="U30" s="1133"/>
    </row>
    <row r="31" spans="12:21">
      <c r="L31" s="1133"/>
      <c r="M31" s="1133"/>
      <c r="N31" s="1133"/>
      <c r="O31" s="1133"/>
      <c r="P31" s="1133"/>
      <c r="Q31" s="1133"/>
      <c r="R31" s="1133"/>
      <c r="S31" s="1133"/>
      <c r="T31" s="1133"/>
      <c r="U31" s="1133"/>
    </row>
    <row r="32" spans="12:21">
      <c r="L32" s="1133"/>
      <c r="M32" s="1133"/>
      <c r="N32" s="1133"/>
      <c r="O32" s="1133"/>
      <c r="P32" s="1133"/>
      <c r="Q32" s="1133"/>
      <c r="R32" s="1133"/>
      <c r="S32" s="1133"/>
      <c r="T32" s="1133"/>
      <c r="U32" s="1133"/>
    </row>
    <row r="33" spans="12:21">
      <c r="L33" s="1133"/>
      <c r="M33" s="1133"/>
      <c r="N33" s="1133"/>
      <c r="O33" s="1133"/>
      <c r="P33" s="1133"/>
      <c r="Q33" s="1133"/>
      <c r="R33" s="1133"/>
      <c r="S33" s="1133"/>
      <c r="T33" s="1133"/>
      <c r="U33" s="1133"/>
    </row>
    <row r="34" spans="12:21">
      <c r="L34" s="1133"/>
      <c r="M34" s="1133"/>
      <c r="N34" s="1133"/>
      <c r="O34" s="1133"/>
      <c r="P34" s="1133"/>
      <c r="Q34" s="1133"/>
      <c r="R34" s="1133"/>
      <c r="S34" s="1133"/>
      <c r="T34" s="1133"/>
      <c r="U34" s="1133"/>
    </row>
    <row r="35" spans="12:21">
      <c r="L35" s="1133"/>
      <c r="M35" s="1133"/>
      <c r="N35" s="1133"/>
      <c r="O35" s="1133"/>
      <c r="P35" s="1133"/>
      <c r="Q35" s="1133"/>
      <c r="R35" s="1133"/>
      <c r="S35" s="1133"/>
      <c r="T35" s="1133"/>
      <c r="U35" s="1133"/>
    </row>
    <row r="36" spans="12:21">
      <c r="L36" s="1133"/>
      <c r="M36" s="1133"/>
      <c r="N36" s="1133"/>
      <c r="O36" s="1133"/>
      <c r="P36" s="1133"/>
      <c r="Q36" s="1133"/>
      <c r="R36" s="1133"/>
      <c r="S36" s="1133"/>
      <c r="T36" s="1133"/>
      <c r="U36" s="1133"/>
    </row>
    <row r="41" spans="12:21">
      <c r="R41" s="13"/>
    </row>
  </sheetData>
  <mergeCells count="7">
    <mergeCell ref="L21:U36"/>
    <mergeCell ref="G13:H13"/>
    <mergeCell ref="K13:L13"/>
    <mergeCell ref="G14:H14"/>
    <mergeCell ref="K14:L14"/>
    <mergeCell ref="G15:H15"/>
    <mergeCell ref="K15:L15"/>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98"/>
  <sheetViews>
    <sheetView topLeftCell="A31" zoomScale="70" zoomScaleNormal="70" workbookViewId="0">
      <selection activeCell="T37" sqref="T37"/>
    </sheetView>
  </sheetViews>
  <sheetFormatPr defaultRowHeight="15"/>
  <cols>
    <col min="4" max="4" width="13.140625" bestFit="1" customWidth="1"/>
    <col min="5" max="5" width="11.42578125" customWidth="1"/>
    <col min="11" max="11" width="20.28515625" customWidth="1"/>
    <col min="17" max="17" width="10.42578125" bestFit="1" customWidth="1"/>
  </cols>
  <sheetData>
    <row r="1" spans="2:16">
      <c r="B1" s="1" t="s">
        <v>0</v>
      </c>
      <c r="J1" s="1" t="s">
        <v>1</v>
      </c>
    </row>
    <row r="2" spans="2:16">
      <c r="B2" s="59" t="s">
        <v>2</v>
      </c>
      <c r="C2" s="1140" t="s">
        <v>3</v>
      </c>
      <c r="D2" s="1140"/>
      <c r="E2" s="1140"/>
      <c r="F2" s="59" t="s">
        <v>4</v>
      </c>
      <c r="G2" s="59" t="s">
        <v>5</v>
      </c>
      <c r="J2" s="59" t="s">
        <v>2</v>
      </c>
      <c r="K2" s="1142" t="s">
        <v>3</v>
      </c>
      <c r="L2" s="1143"/>
      <c r="M2" s="59" t="s">
        <v>4</v>
      </c>
      <c r="N2" s="59" t="s">
        <v>5</v>
      </c>
    </row>
    <row r="3" spans="2:16">
      <c r="B3" s="2">
        <v>1</v>
      </c>
      <c r="C3" s="3" t="s">
        <v>6</v>
      </c>
      <c r="D3" s="4"/>
      <c r="E3" s="5"/>
      <c r="F3" s="2">
        <v>0.86499999999999999</v>
      </c>
      <c r="G3" s="2"/>
      <c r="J3" s="2">
        <v>1</v>
      </c>
      <c r="K3" s="7" t="s">
        <v>7</v>
      </c>
      <c r="L3" s="5"/>
      <c r="M3" s="10">
        <v>6565</v>
      </c>
      <c r="N3" s="2" t="s">
        <v>8</v>
      </c>
    </row>
    <row r="4" spans="2:16">
      <c r="B4" s="2">
        <v>2</v>
      </c>
      <c r="C4" s="3" t="s">
        <v>9</v>
      </c>
      <c r="D4" s="4"/>
      <c r="E4" s="5"/>
      <c r="F4" s="2">
        <v>1.0121</v>
      </c>
      <c r="G4" s="2"/>
      <c r="J4" s="2">
        <v>2</v>
      </c>
      <c r="K4" s="7" t="s">
        <v>10</v>
      </c>
      <c r="L4" s="5"/>
      <c r="M4" s="10">
        <v>6258</v>
      </c>
      <c r="N4" s="2" t="s">
        <v>8</v>
      </c>
      <c r="O4" s="244"/>
    </row>
    <row r="5" spans="2:16">
      <c r="B5" s="2">
        <v>3</v>
      </c>
      <c r="C5" s="3" t="s">
        <v>11</v>
      </c>
      <c r="D5" s="4"/>
      <c r="E5" s="5"/>
      <c r="F5" s="16">
        <f>(141.5/F3)-131.5</f>
        <v>32.083815028901739</v>
      </c>
      <c r="G5" s="2" t="s">
        <v>39</v>
      </c>
      <c r="J5" s="2">
        <v>3</v>
      </c>
      <c r="K5" s="7" t="s">
        <v>12</v>
      </c>
      <c r="L5" s="5"/>
      <c r="M5" s="10">
        <v>6412</v>
      </c>
      <c r="N5" s="2" t="s">
        <v>8</v>
      </c>
    </row>
    <row r="6" spans="2:16">
      <c r="B6" s="2">
        <v>4</v>
      </c>
      <c r="C6" s="8" t="s">
        <v>13</v>
      </c>
      <c r="D6" s="2"/>
      <c r="E6" s="6"/>
      <c r="F6" s="2">
        <v>196</v>
      </c>
      <c r="G6" s="2" t="s">
        <v>40</v>
      </c>
      <c r="J6" s="2">
        <v>4</v>
      </c>
      <c r="K6" s="7" t="s">
        <v>14</v>
      </c>
      <c r="L6" s="5"/>
      <c r="M6" s="10">
        <v>6565</v>
      </c>
      <c r="N6" s="2" t="s">
        <v>8</v>
      </c>
      <c r="O6" s="244"/>
    </row>
    <row r="7" spans="2:16">
      <c r="B7" s="2">
        <v>5</v>
      </c>
      <c r="C7" s="6" t="s">
        <v>81</v>
      </c>
      <c r="D7" s="7"/>
      <c r="E7" s="5"/>
      <c r="F7" s="16">
        <f>IPR!C3</f>
        <v>1665.4672046988003</v>
      </c>
      <c r="G7" s="2" t="s">
        <v>17</v>
      </c>
      <c r="J7" s="2">
        <v>5</v>
      </c>
      <c r="K7" s="7" t="s">
        <v>18</v>
      </c>
      <c r="L7" s="9"/>
      <c r="M7" s="2">
        <f>9+(5/8)</f>
        <v>9.625</v>
      </c>
      <c r="N7" s="2" t="s">
        <v>19</v>
      </c>
    </row>
    <row r="8" spans="2:16">
      <c r="J8" s="2">
        <v>6</v>
      </c>
      <c r="K8" s="7" t="s">
        <v>22</v>
      </c>
      <c r="L8" s="9"/>
      <c r="M8" s="46">
        <v>8.7750000000000004</v>
      </c>
      <c r="N8" s="2" t="s">
        <v>19</v>
      </c>
    </row>
    <row r="9" spans="2:16">
      <c r="B9" s="1" t="s">
        <v>16</v>
      </c>
    </row>
    <row r="10" spans="2:16">
      <c r="B10" s="252" t="s">
        <v>2</v>
      </c>
      <c r="C10" s="1140" t="s">
        <v>3</v>
      </c>
      <c r="D10" s="1140"/>
      <c r="E10" s="1140"/>
      <c r="F10" s="252" t="s">
        <v>4</v>
      </c>
      <c r="G10" s="252" t="s">
        <v>5</v>
      </c>
    </row>
    <row r="11" spans="2:16">
      <c r="B11" s="2">
        <v>1</v>
      </c>
      <c r="C11" s="1092" t="s">
        <v>20</v>
      </c>
      <c r="D11" s="1093"/>
      <c r="E11" s="1094"/>
      <c r="F11" s="2">
        <v>33</v>
      </c>
      <c r="G11" s="2" t="s">
        <v>21</v>
      </c>
    </row>
    <row r="12" spans="2:16">
      <c r="B12" s="2">
        <v>2</v>
      </c>
      <c r="C12" s="1092" t="s">
        <v>23</v>
      </c>
      <c r="D12" s="1093"/>
      <c r="E12" s="1094"/>
      <c r="F12" s="2">
        <v>2706</v>
      </c>
      <c r="G12" s="2" t="s">
        <v>24</v>
      </c>
      <c r="J12" s="1" t="s">
        <v>27</v>
      </c>
    </row>
    <row r="13" spans="2:16">
      <c r="B13" s="2">
        <v>3</v>
      </c>
      <c r="C13" s="1092" t="s">
        <v>25</v>
      </c>
      <c r="D13" s="1093"/>
      <c r="E13" s="1094"/>
      <c r="F13" s="2">
        <v>2739</v>
      </c>
      <c r="G13" s="2" t="s">
        <v>26</v>
      </c>
      <c r="J13" s="252" t="s">
        <v>2</v>
      </c>
      <c r="K13" s="1140" t="s">
        <v>3</v>
      </c>
      <c r="L13" s="1140"/>
      <c r="M13" s="252" t="s">
        <v>4</v>
      </c>
      <c r="N13" s="252" t="s">
        <v>5</v>
      </c>
    </row>
    <row r="14" spans="2:16">
      <c r="B14" s="2">
        <v>4</v>
      </c>
      <c r="C14" s="1092" t="s">
        <v>28</v>
      </c>
      <c r="D14" s="1093"/>
      <c r="E14" s="1094"/>
      <c r="F14" s="47">
        <v>0.98799999999999999</v>
      </c>
      <c r="G14" s="2"/>
      <c r="J14" s="2">
        <v>1</v>
      </c>
      <c r="K14" s="1092" t="s">
        <v>30</v>
      </c>
      <c r="L14" s="1094"/>
      <c r="M14" s="2">
        <v>120</v>
      </c>
      <c r="N14" s="2"/>
    </row>
    <row r="15" spans="2:16">
      <c r="B15" s="2">
        <v>5</v>
      </c>
      <c r="C15" s="1092" t="s">
        <v>29</v>
      </c>
      <c r="D15" s="1093"/>
      <c r="E15" s="1094"/>
      <c r="F15" s="10">
        <v>1480.25</v>
      </c>
      <c r="G15" s="2" t="s">
        <v>8</v>
      </c>
      <c r="I15" s="34"/>
      <c r="J15" s="2">
        <v>2</v>
      </c>
      <c r="K15" s="1092" t="s">
        <v>32</v>
      </c>
      <c r="L15" s="1094"/>
      <c r="M15" s="2" t="s">
        <v>234</v>
      </c>
      <c r="N15" s="2"/>
    </row>
    <row r="16" spans="2:16">
      <c r="B16" s="2">
        <v>6</v>
      </c>
      <c r="C16" s="1092" t="s">
        <v>31</v>
      </c>
      <c r="D16" s="1093"/>
      <c r="E16" s="1094"/>
      <c r="F16" s="10">
        <v>2605</v>
      </c>
      <c r="G16" s="2" t="s">
        <v>8</v>
      </c>
      <c r="J16" s="2">
        <v>3</v>
      </c>
      <c r="K16" s="1092" t="s">
        <v>34</v>
      </c>
      <c r="L16" s="1094"/>
      <c r="M16" s="2">
        <v>80</v>
      </c>
      <c r="N16" s="2" t="s">
        <v>35</v>
      </c>
      <c r="P16" s="13"/>
    </row>
    <row r="17" spans="1:20">
      <c r="B17" s="2">
        <v>7</v>
      </c>
      <c r="C17" s="1092" t="s">
        <v>229</v>
      </c>
      <c r="D17" s="1093"/>
      <c r="E17" s="1094"/>
      <c r="F17" s="16">
        <v>200</v>
      </c>
      <c r="G17" s="2" t="s">
        <v>230</v>
      </c>
      <c r="J17" s="2">
        <v>4</v>
      </c>
      <c r="K17" s="1092" t="s">
        <v>42</v>
      </c>
      <c r="L17" s="1094"/>
      <c r="M17" s="2">
        <v>60</v>
      </c>
      <c r="N17" s="2" t="s">
        <v>37</v>
      </c>
      <c r="P17" s="13"/>
    </row>
    <row r="18" spans="1:20">
      <c r="B18" s="2">
        <v>8</v>
      </c>
      <c r="C18" s="1092" t="s">
        <v>36</v>
      </c>
      <c r="D18" s="1093"/>
      <c r="E18" s="1094"/>
      <c r="F18" s="2">
        <v>3.5</v>
      </c>
      <c r="G18" s="2" t="s">
        <v>19</v>
      </c>
      <c r="J18" s="2">
        <v>5</v>
      </c>
      <c r="K18" s="1092" t="s">
        <v>15</v>
      </c>
      <c r="L18" s="1094"/>
      <c r="M18" s="10">
        <v>4097</v>
      </c>
      <c r="N18" s="2" t="s">
        <v>8</v>
      </c>
    </row>
    <row r="19" spans="1:20">
      <c r="B19" s="2">
        <v>9</v>
      </c>
      <c r="C19" s="1092" t="s">
        <v>38</v>
      </c>
      <c r="D19" s="1093"/>
      <c r="E19" s="1094"/>
      <c r="F19" s="2">
        <f>'Optimasi Stage'!F19</f>
        <v>2.992</v>
      </c>
      <c r="G19" s="2" t="s">
        <v>19</v>
      </c>
      <c r="J19" s="251">
        <v>6</v>
      </c>
      <c r="K19" s="1092" t="s">
        <v>237</v>
      </c>
      <c r="L19" s="1094"/>
      <c r="M19" s="2">
        <v>2608</v>
      </c>
      <c r="N19" s="56"/>
    </row>
    <row r="20" spans="1:20">
      <c r="B20" s="2">
        <v>10</v>
      </c>
      <c r="C20" s="1092" t="s">
        <v>228</v>
      </c>
      <c r="D20" s="1093"/>
      <c r="E20" s="1094"/>
      <c r="F20" s="16">
        <v>3012</v>
      </c>
      <c r="G20" s="2" t="s">
        <v>19</v>
      </c>
      <c r="J20" s="14"/>
      <c r="K20" s="57"/>
      <c r="L20" s="57"/>
      <c r="M20" s="14"/>
      <c r="N20" s="14"/>
      <c r="O20" s="12"/>
    </row>
    <row r="21" spans="1:20">
      <c r="B21" s="2">
        <v>11</v>
      </c>
      <c r="C21" s="1092" t="s">
        <v>33</v>
      </c>
      <c r="D21" s="1093"/>
      <c r="E21" s="1094"/>
      <c r="F21" s="2">
        <v>240</v>
      </c>
      <c r="G21" s="2" t="s">
        <v>17</v>
      </c>
      <c r="H21" s="13"/>
      <c r="J21" s="14"/>
      <c r="K21" s="57"/>
      <c r="L21" s="57"/>
      <c r="M21" s="14"/>
      <c r="N21" s="14"/>
      <c r="O21" s="12"/>
    </row>
    <row r="22" spans="1:20">
      <c r="B22" s="2">
        <v>12</v>
      </c>
      <c r="C22" s="1086" t="s">
        <v>243</v>
      </c>
      <c r="D22" s="1086"/>
      <c r="E22" s="1086"/>
      <c r="F22" s="2">
        <v>500</v>
      </c>
      <c r="G22" s="2" t="s">
        <v>17</v>
      </c>
    </row>
    <row r="23" spans="1:20">
      <c r="A23" s="12"/>
      <c r="B23" s="255"/>
      <c r="C23" s="254"/>
      <c r="D23" s="254"/>
      <c r="E23" s="254"/>
      <c r="F23" s="255"/>
      <c r="G23" s="255"/>
    </row>
    <row r="24" spans="1:20">
      <c r="B24" s="199" t="s">
        <v>161</v>
      </c>
      <c r="C24" s="55">
        <f>'Evaluasi ESP'!H32</f>
        <v>1.0103348000000001</v>
      </c>
      <c r="D24" s="56"/>
      <c r="E24" s="427" t="s">
        <v>232</v>
      </c>
      <c r="F24" s="56">
        <f>'Optimasi Stage'!F25</f>
        <v>5752</v>
      </c>
      <c r="G24" s="2" t="s">
        <v>46</v>
      </c>
    </row>
    <row r="25" spans="1:20">
      <c r="B25" s="199" t="s">
        <v>52</v>
      </c>
      <c r="C25" s="55">
        <v>0.33</v>
      </c>
      <c r="D25" s="251" t="s">
        <v>46</v>
      </c>
      <c r="E25" s="427" t="s">
        <v>240</v>
      </c>
      <c r="F25" s="56">
        <v>1050</v>
      </c>
      <c r="G25" s="2" t="s">
        <v>17</v>
      </c>
    </row>
    <row r="26" spans="1:20">
      <c r="B26" s="214" t="s">
        <v>43</v>
      </c>
      <c r="C26" s="17">
        <f>IPR!C2</f>
        <v>2224.4495918367347</v>
      </c>
      <c r="D26" s="251" t="s">
        <v>17</v>
      </c>
      <c r="E26" s="427" t="s">
        <v>238</v>
      </c>
      <c r="F26" s="56">
        <v>0.33</v>
      </c>
      <c r="G26" s="251" t="s">
        <v>61</v>
      </c>
    </row>
    <row r="27" spans="1:20">
      <c r="B27" s="214" t="s">
        <v>44</v>
      </c>
      <c r="C27" s="30">
        <f>IPR!C3</f>
        <v>1665.4672046988003</v>
      </c>
      <c r="D27" s="251" t="s">
        <v>90</v>
      </c>
    </row>
    <row r="28" spans="1:20">
      <c r="B28" s="214" t="s">
        <v>91</v>
      </c>
      <c r="C28" s="17">
        <f>F13/(C26-C27)</f>
        <v>4.8999754965877385</v>
      </c>
      <c r="D28" s="56" t="s">
        <v>92</v>
      </c>
    </row>
    <row r="29" spans="1:20">
      <c r="B29" s="214" t="s">
        <v>161</v>
      </c>
      <c r="C29" s="56">
        <v>0.76</v>
      </c>
      <c r="D29" s="56"/>
      <c r="J29" t="s">
        <v>41</v>
      </c>
    </row>
    <row r="30" spans="1:20">
      <c r="B30" s="36" t="s">
        <v>93</v>
      </c>
      <c r="C30" s="20"/>
      <c r="D30" s="20"/>
      <c r="E30" s="20"/>
      <c r="F30" s="20"/>
      <c r="G30" s="20"/>
      <c r="H30" s="21">
        <f>((350*F14*F4)+(350*(1-F14)*F3))*F26</f>
        <v>116.69366940000002</v>
      </c>
      <c r="I30" s="22" t="s">
        <v>94</v>
      </c>
    </row>
    <row r="31" spans="1:20" ht="18.75">
      <c r="B31" s="26"/>
      <c r="C31" s="27"/>
      <c r="D31" s="27"/>
      <c r="E31" s="27"/>
      <c r="F31" s="27"/>
      <c r="G31" s="27"/>
      <c r="H31" s="27"/>
      <c r="I31" s="28"/>
      <c r="K31" s="1144" t="s">
        <v>719</v>
      </c>
      <c r="L31" s="1144"/>
      <c r="M31" s="1144"/>
      <c r="N31" s="1144"/>
      <c r="O31" s="1144"/>
      <c r="P31" s="1144"/>
      <c r="Q31" s="1144"/>
      <c r="R31" s="1144"/>
      <c r="S31" s="1144"/>
      <c r="T31" s="1144"/>
    </row>
    <row r="33" spans="2:24">
      <c r="B33" s="206" t="s">
        <v>95</v>
      </c>
      <c r="C33" s="207" t="s">
        <v>44</v>
      </c>
      <c r="D33" s="207" t="s">
        <v>96</v>
      </c>
      <c r="E33" s="207" t="s">
        <v>236</v>
      </c>
      <c r="F33" s="207" t="s">
        <v>97</v>
      </c>
      <c r="G33" s="207" t="s">
        <v>98</v>
      </c>
      <c r="H33" s="207" t="s">
        <v>99</v>
      </c>
      <c r="I33" s="207" t="s">
        <v>100</v>
      </c>
      <c r="J33" s="207" t="s">
        <v>101</v>
      </c>
      <c r="K33" s="208" t="s">
        <v>102</v>
      </c>
      <c r="L33" s="208" t="s">
        <v>103</v>
      </c>
      <c r="M33" s="1140" t="s">
        <v>245</v>
      </c>
      <c r="N33" s="1140"/>
      <c r="O33" s="1140"/>
      <c r="P33" s="1140"/>
      <c r="Q33" s="1141" t="s">
        <v>105</v>
      </c>
      <c r="R33" s="1141"/>
      <c r="S33" s="1141"/>
      <c r="T33" s="1141"/>
      <c r="U33" s="212"/>
      <c r="V33" s="213"/>
      <c r="W33" s="213"/>
      <c r="X33" s="213"/>
    </row>
    <row r="34" spans="2:24">
      <c r="B34" s="210" t="s">
        <v>106</v>
      </c>
      <c r="C34" s="211"/>
      <c r="D34" s="211"/>
      <c r="E34" s="211"/>
      <c r="F34" s="211"/>
      <c r="G34" s="211"/>
      <c r="H34" s="211"/>
      <c r="I34" s="211"/>
      <c r="J34" s="211"/>
      <c r="K34" s="211"/>
      <c r="L34" s="211" t="s">
        <v>107</v>
      </c>
      <c r="M34" s="59">
        <v>45</v>
      </c>
      <c r="N34" s="59">
        <v>50</v>
      </c>
      <c r="O34" s="59">
        <v>55</v>
      </c>
      <c r="P34" s="59">
        <v>60</v>
      </c>
      <c r="Q34" s="59">
        <v>45</v>
      </c>
      <c r="R34" s="59">
        <v>50</v>
      </c>
      <c r="S34" s="59">
        <v>55</v>
      </c>
      <c r="T34" s="59">
        <v>60</v>
      </c>
    </row>
    <row r="35" spans="2:24">
      <c r="B35" s="18">
        <v>5000</v>
      </c>
      <c r="C35" s="17">
        <f>((-0.2+(SQRT(0.04-3.2*(((B35-F$24)/(D$41-F$24))-1))))/1.6)*F$25</f>
        <v>1194.4849809627494</v>
      </c>
      <c r="D35" s="17">
        <f>C35-(($M$5-$M$18)*$F$26)</f>
        <v>430.53498096274939</v>
      </c>
      <c r="E35" s="17">
        <f>(D35/C$29)*2.31</f>
        <v>1308.5997447683567</v>
      </c>
      <c r="F35" s="17">
        <f>M$19-E35</f>
        <v>1299.4002552316433</v>
      </c>
      <c r="G35" s="17">
        <f>2.083*(100/$M$14)^1.85*(B35/34.3)^1.85/$F$19^4.8655</f>
        <v>72.312477053953018</v>
      </c>
      <c r="H35" s="17">
        <f>(G35/1000)*$M$18</f>
        <v>296.26421849004555</v>
      </c>
      <c r="I35" s="17">
        <f>(F$22/C$29)*2.31</f>
        <v>1519.7368421052631</v>
      </c>
      <c r="J35" s="17">
        <f>F35+H35+I35</f>
        <v>3115.4013158269518</v>
      </c>
      <c r="K35" s="17">
        <f>J35*$C$25</f>
        <v>1028.0824342228941</v>
      </c>
      <c r="L35" s="17">
        <f>D35+K35</f>
        <v>1458.6174151856435</v>
      </c>
      <c r="M35" s="10">
        <v>12</v>
      </c>
      <c r="N35" s="10">
        <v>18</v>
      </c>
      <c r="O35" s="10">
        <v>24</v>
      </c>
      <c r="P35" s="2">
        <v>31.2</v>
      </c>
      <c r="Q35" s="110">
        <f>L35-((($H$30*M35)/808.3141)*($D$46))</f>
        <v>1205.6868912855903</v>
      </c>
      <c r="R35" s="110">
        <f>L35-((($H$30*N35)/808.3141)*($D$46))</f>
        <v>1079.2216293355636</v>
      </c>
      <c r="S35" s="110">
        <f>L35-((($H$30*O35)/808.3141)*($D$46))</f>
        <v>952.75636738553703</v>
      </c>
      <c r="T35" s="110">
        <f>L35-((($H$30*P35)/808.3141)*($D$46))</f>
        <v>800.99805304550523</v>
      </c>
    </row>
    <row r="36" spans="2:24">
      <c r="B36" s="18">
        <v>5500</v>
      </c>
      <c r="C36" s="17">
        <f>((-0.2+(SQRT(0.04-3.2*(((B36-F$24)/(D$41-F$24))-1))))/1.6)*F$25</f>
        <v>1100.3076960090684</v>
      </c>
      <c r="D36" s="17">
        <f>C36-(($M$5-$M$18)*$F$26)</f>
        <v>336.35769600906838</v>
      </c>
      <c r="E36" s="17">
        <f t="shared" ref="E36:E39" si="0">(D36/C$29)*2.31</f>
        <v>1022.3503655012473</v>
      </c>
      <c r="F36" s="17">
        <f t="shared" ref="F36:F39" si="1">M$19-E36</f>
        <v>1585.6496344987527</v>
      </c>
      <c r="G36" s="17">
        <f>2.083*(100/$M$14)^1.85*(B36/34.3)^1.85/$F$19^4.8655</f>
        <v>86.256077765398445</v>
      </c>
      <c r="H36" s="17">
        <f>(G36/1000)*$M$18</f>
        <v>353.39115060483743</v>
      </c>
      <c r="I36" s="17">
        <f>(F$22/C$29)*2.31</f>
        <v>1519.7368421052631</v>
      </c>
      <c r="J36" s="17">
        <f t="shared" ref="J36:J39" si="2">F36+H36+I36</f>
        <v>3458.7776272088531</v>
      </c>
      <c r="K36" s="17">
        <f t="shared" ref="K36:K39" si="3">J36*$C$25</f>
        <v>1141.3966169789217</v>
      </c>
      <c r="L36" s="17">
        <f>D36+K36</f>
        <v>1477.75431298799</v>
      </c>
      <c r="M36" s="10">
        <v>8.4</v>
      </c>
      <c r="N36" s="10">
        <v>14.4</v>
      </c>
      <c r="O36" s="10">
        <v>21.6</v>
      </c>
      <c r="P36" s="2">
        <v>28.8</v>
      </c>
      <c r="Q36" s="110">
        <f t="shared" ref="Q36:Q39" si="4">L36-((($H$30*M36)/808.3141)*($D$46))</f>
        <v>1300.7029462579528</v>
      </c>
      <c r="R36" s="110">
        <f t="shared" ref="R36:R39" si="5">L36-((($H$30*N36)/808.3141)*($D$46))</f>
        <v>1174.2376843079262</v>
      </c>
      <c r="S36" s="110">
        <f t="shared" ref="S36:S39" si="6">L36-((($H$30*O36)/808.3141)*($D$46))</f>
        <v>1022.4793699678942</v>
      </c>
      <c r="T36" s="110">
        <f t="shared" ref="T36:T39" si="7">L36-((($H$30*P36)/808.3141)*($D$46))</f>
        <v>870.72105562786226</v>
      </c>
    </row>
    <row r="37" spans="2:24">
      <c r="B37" s="253">
        <v>6000</v>
      </c>
      <c r="C37" s="93">
        <f>((-0.2+(SQRT(0.04-3.2*(((B37-F$24)/(D$41-F$24))-1))))/1.6)*F$25</f>
        <v>998.30543354455529</v>
      </c>
      <c r="D37" s="93">
        <f>C37-(($M$5-$M$18)*$F$26)</f>
        <v>234.35543354455524</v>
      </c>
      <c r="E37" s="93">
        <f t="shared" si="0"/>
        <v>712.31717301042443</v>
      </c>
      <c r="F37" s="93">
        <f t="shared" si="1"/>
        <v>1895.6828269895755</v>
      </c>
      <c r="G37" s="93">
        <f>2.083*(100/$M$14)^1.85*(B37/34.3)^1.85/$F$19^4.8655</f>
        <v>101.32078448036485</v>
      </c>
      <c r="H37" s="93">
        <f>(G37/1000)*$M$18</f>
        <v>415.11125401605483</v>
      </c>
      <c r="I37" s="93">
        <f t="shared" ref="I37:I39" si="8">(F$22/C$29)*2.31</f>
        <v>1519.7368421052631</v>
      </c>
      <c r="J37" s="93">
        <f t="shared" si="2"/>
        <v>3830.5309231108931</v>
      </c>
      <c r="K37" s="93">
        <f t="shared" si="3"/>
        <v>1264.0752046265948</v>
      </c>
      <c r="L37" s="93">
        <f>D37+K37</f>
        <v>1498.4306381711499</v>
      </c>
      <c r="M37" s="93">
        <v>4.8</v>
      </c>
      <c r="N37" s="93">
        <v>12</v>
      </c>
      <c r="O37" s="93">
        <v>19.2</v>
      </c>
      <c r="P37" s="253">
        <v>26</v>
      </c>
      <c r="Q37" s="93">
        <f t="shared" si="4"/>
        <v>1397.2584286111287</v>
      </c>
      <c r="R37" s="93">
        <f t="shared" si="5"/>
        <v>1245.5001142710967</v>
      </c>
      <c r="S37" s="93">
        <f t="shared" si="6"/>
        <v>1093.7417999310646</v>
      </c>
      <c r="T37" s="93">
        <f>L37-((($H$30*P37)/808.3141)*($D$46))</f>
        <v>950.41450305436786</v>
      </c>
    </row>
    <row r="38" spans="2:24">
      <c r="B38" s="245">
        <v>6500</v>
      </c>
      <c r="C38" s="17">
        <f>((-0.2+(SQRT(0.04-3.2*(((B38-F$24)/(D$41-F$24))-1))))/1.6)*F$25</f>
        <v>886.12731265292689</v>
      </c>
      <c r="D38" s="17">
        <f>C38-(($M$5-$M$18)*$F$26)</f>
        <v>122.17731265292684</v>
      </c>
      <c r="E38" s="17">
        <f t="shared" si="0"/>
        <v>371.35472661613295</v>
      </c>
      <c r="F38" s="17">
        <f t="shared" si="1"/>
        <v>2236.6452733838669</v>
      </c>
      <c r="G38" s="110">
        <f>2.083*(100/$M$14)^1.85*(B38/34.3)^1.85/$F$19^4.8655</f>
        <v>117.49203885941853</v>
      </c>
      <c r="H38" s="110">
        <f>(G38/1000)*$M$18</f>
        <v>481.36488320703774</v>
      </c>
      <c r="I38" s="17">
        <f t="shared" si="8"/>
        <v>1519.7368421052631</v>
      </c>
      <c r="J38" s="110">
        <f t="shared" si="2"/>
        <v>4237.7469986961678</v>
      </c>
      <c r="K38" s="110">
        <f t="shared" si="3"/>
        <v>1398.4565095697355</v>
      </c>
      <c r="L38" s="110">
        <f>D38+K38</f>
        <v>1520.6338222226623</v>
      </c>
      <c r="M38" s="10">
        <v>0</v>
      </c>
      <c r="N38" s="10">
        <v>7.2</v>
      </c>
      <c r="O38" s="10">
        <v>14.4</v>
      </c>
      <c r="P38" s="15">
        <v>22.8</v>
      </c>
      <c r="Q38" s="110">
        <f t="shared" si="4"/>
        <v>1520.6338222226623</v>
      </c>
      <c r="R38" s="110">
        <f t="shared" si="5"/>
        <v>1368.8755078826302</v>
      </c>
      <c r="S38" s="110">
        <f t="shared" si="6"/>
        <v>1217.1171935425984</v>
      </c>
      <c r="T38" s="110">
        <f t="shared" si="7"/>
        <v>1040.0658268125612</v>
      </c>
    </row>
    <row r="39" spans="2:24">
      <c r="B39" s="245">
        <v>6800</v>
      </c>
      <c r="C39" s="17">
        <f>((-0.2+(SQRT(0.04-3.2*(((B39-F$24)/(D$41-F$24))-1))))/1.6)*F$25</f>
        <v>812.44129889567648</v>
      </c>
      <c r="D39" s="17">
        <f>C39-(($M$5-$M$18)*$F$26)</f>
        <v>48.491298895676437</v>
      </c>
      <c r="E39" s="17">
        <f t="shared" si="0"/>
        <v>147.38802690659548</v>
      </c>
      <c r="F39" s="17">
        <f t="shared" si="1"/>
        <v>2460.6119730934047</v>
      </c>
      <c r="G39" s="17">
        <f>2.083*(100/$M$14)^1.85*(B39/34.3)^1.85/$F$19^4.8655</f>
        <v>127.7203849899319</v>
      </c>
      <c r="H39" s="17">
        <f>(G39/1000)*$M$18</f>
        <v>523.27041730375106</v>
      </c>
      <c r="I39" s="17">
        <f t="shared" si="8"/>
        <v>1519.7368421052631</v>
      </c>
      <c r="J39" s="17">
        <f t="shared" si="2"/>
        <v>4503.6192325024185</v>
      </c>
      <c r="K39" s="17">
        <f t="shared" si="3"/>
        <v>1486.1943467257981</v>
      </c>
      <c r="L39" s="17">
        <f>D39+K39</f>
        <v>1534.6856456214746</v>
      </c>
      <c r="M39" s="10">
        <v>-2.4</v>
      </c>
      <c r="N39" s="10">
        <v>4.8</v>
      </c>
      <c r="O39" s="10">
        <v>12</v>
      </c>
      <c r="P39" s="15">
        <v>19.2</v>
      </c>
      <c r="Q39" s="110">
        <f t="shared" si="4"/>
        <v>1585.2717504014852</v>
      </c>
      <c r="R39" s="110">
        <f t="shared" si="5"/>
        <v>1433.5134360614534</v>
      </c>
      <c r="S39" s="110">
        <f t="shared" si="6"/>
        <v>1281.7551217214213</v>
      </c>
      <c r="T39" s="110">
        <f t="shared" si="7"/>
        <v>1129.9968073813893</v>
      </c>
    </row>
    <row r="41" spans="2:24" ht="15.75">
      <c r="B41" s="215" t="s">
        <v>89</v>
      </c>
      <c r="C41" s="216"/>
      <c r="D41" s="60">
        <f>IPR!C8</f>
        <v>8613.093261653652</v>
      </c>
      <c r="E41" s="61" t="s">
        <v>46</v>
      </c>
    </row>
    <row r="42" spans="2:24" ht="15.75">
      <c r="B42" s="215" t="s">
        <v>109</v>
      </c>
      <c r="C42" s="216"/>
      <c r="D42" s="60">
        <f>70/100*D41</f>
        <v>6029.1652831575557</v>
      </c>
      <c r="E42" s="61" t="s">
        <v>46</v>
      </c>
      <c r="G42" s="209"/>
      <c r="H42" s="209"/>
      <c r="I42" s="209"/>
      <c r="J42" s="209"/>
      <c r="K42" s="209"/>
      <c r="L42" s="209"/>
      <c r="M42" s="209"/>
      <c r="N42" s="209"/>
      <c r="O42" s="209"/>
      <c r="P42" s="209"/>
      <c r="Q42" s="209"/>
      <c r="R42" s="99"/>
    </row>
    <row r="43" spans="2:24" ht="15.75">
      <c r="B43" s="215" t="s">
        <v>110</v>
      </c>
      <c r="C43" s="216"/>
      <c r="D43" s="83">
        <v>6000</v>
      </c>
      <c r="E43" s="61" t="s">
        <v>46</v>
      </c>
      <c r="G43" s="209"/>
      <c r="H43" s="209"/>
      <c r="I43" s="209"/>
      <c r="J43" s="209"/>
      <c r="K43" s="209"/>
      <c r="L43" s="209"/>
      <c r="M43" s="209"/>
      <c r="N43" s="209"/>
      <c r="O43" s="209"/>
      <c r="P43" s="209"/>
      <c r="Q43" s="209"/>
      <c r="R43" s="99"/>
    </row>
    <row r="44" spans="2:24" ht="15.75">
      <c r="B44" s="215" t="s">
        <v>111</v>
      </c>
      <c r="C44" s="216"/>
      <c r="D44" s="60">
        <f>'Optimasi Stage'!D44</f>
        <v>997.97</v>
      </c>
      <c r="E44" s="61" t="s">
        <v>90</v>
      </c>
      <c r="G44" s="209"/>
      <c r="H44" s="209"/>
      <c r="I44" s="209"/>
      <c r="J44" s="209"/>
      <c r="K44" s="209"/>
      <c r="L44" s="209"/>
      <c r="M44" s="209"/>
      <c r="N44" s="209"/>
      <c r="O44" s="209"/>
      <c r="P44" s="209"/>
      <c r="Q44" s="209"/>
      <c r="R44" s="99"/>
    </row>
    <row r="45" spans="2:24" ht="15.75">
      <c r="B45" s="215" t="s">
        <v>91</v>
      </c>
      <c r="C45" s="217"/>
      <c r="D45" s="17">
        <f>D43/(C26-D44)</f>
        <v>4.8920504180706352</v>
      </c>
      <c r="E45" s="145" t="s">
        <v>163</v>
      </c>
      <c r="G45" s="209"/>
      <c r="H45" s="209"/>
      <c r="I45" s="209"/>
      <c r="J45" s="209"/>
      <c r="K45" s="209"/>
      <c r="L45" s="209"/>
      <c r="M45" s="209"/>
      <c r="N45" s="209"/>
      <c r="O45" s="209"/>
      <c r="P45" s="209"/>
      <c r="Q45" s="209"/>
      <c r="R45" s="99"/>
    </row>
    <row r="46" spans="2:24" ht="15.75">
      <c r="B46" s="218" t="s">
        <v>112</v>
      </c>
      <c r="C46" s="199"/>
      <c r="D46" s="81">
        <v>146</v>
      </c>
      <c r="E46" s="61" t="s">
        <v>84</v>
      </c>
      <c r="G46" s="209"/>
      <c r="H46" s="209"/>
      <c r="I46" s="209"/>
      <c r="J46" s="209"/>
      <c r="K46" s="209"/>
      <c r="L46" s="209"/>
      <c r="M46" s="209"/>
      <c r="N46" s="209"/>
      <c r="O46" s="209"/>
      <c r="P46" s="209"/>
      <c r="Q46" s="209"/>
      <c r="R46" s="99"/>
    </row>
    <row r="47" spans="2:24" ht="15.75">
      <c r="B47" s="218" t="s">
        <v>113</v>
      </c>
      <c r="C47" s="199"/>
      <c r="D47" s="81">
        <v>1.62</v>
      </c>
      <c r="E47" s="65" t="s">
        <v>226</v>
      </c>
      <c r="G47" s="209"/>
      <c r="H47" s="209"/>
      <c r="I47" s="209"/>
      <c r="J47" s="209"/>
      <c r="K47" s="209"/>
      <c r="L47" s="209"/>
      <c r="M47" s="209"/>
      <c r="N47" s="209"/>
      <c r="O47" s="209"/>
      <c r="P47" s="209"/>
      <c r="Q47" s="209"/>
      <c r="R47" s="99"/>
    </row>
    <row r="48" spans="2:24" ht="15.75">
      <c r="B48" s="215" t="s">
        <v>155</v>
      </c>
      <c r="C48" s="216"/>
      <c r="D48" s="82">
        <f>C24*D47*D46</f>
        <v>238.96438689600004</v>
      </c>
      <c r="E48" s="61" t="s">
        <v>87</v>
      </c>
      <c r="G48" s="209"/>
      <c r="H48" s="209"/>
      <c r="I48" s="209"/>
      <c r="J48" s="209"/>
      <c r="K48" s="209"/>
      <c r="L48" s="209"/>
      <c r="M48" s="209"/>
      <c r="N48" s="209"/>
      <c r="O48" s="209"/>
      <c r="P48" s="209"/>
      <c r="Q48" s="209"/>
      <c r="R48" s="99"/>
    </row>
    <row r="49" spans="2:18" ht="15.75">
      <c r="B49" s="215" t="s">
        <v>115</v>
      </c>
      <c r="C49" s="216"/>
      <c r="D49" s="109">
        <v>0.72</v>
      </c>
      <c r="E49" s="61" t="s">
        <v>88</v>
      </c>
      <c r="G49" s="209"/>
      <c r="H49" s="209"/>
      <c r="I49" s="209"/>
      <c r="J49" s="209"/>
      <c r="K49" s="209"/>
      <c r="L49" s="209"/>
      <c r="M49" s="209"/>
      <c r="N49" s="209"/>
      <c r="O49" s="209"/>
      <c r="P49" s="209"/>
      <c r="Q49" s="209"/>
      <c r="R49" s="99"/>
    </row>
    <row r="50" spans="2:18">
      <c r="G50" s="209"/>
      <c r="H50" s="209"/>
      <c r="I50" s="209"/>
      <c r="J50" s="209"/>
      <c r="K50" s="209"/>
      <c r="L50" s="209"/>
      <c r="M50" s="209"/>
      <c r="N50" s="209"/>
      <c r="O50" s="209"/>
      <c r="P50" s="209"/>
      <c r="Q50" s="209"/>
      <c r="R50" s="99"/>
    </row>
    <row r="51" spans="2:18">
      <c r="G51" s="209"/>
      <c r="H51" s="209"/>
      <c r="I51" s="209"/>
      <c r="J51" s="209"/>
      <c r="K51" s="209"/>
      <c r="L51" s="209"/>
      <c r="M51" s="209"/>
      <c r="N51" s="209"/>
      <c r="O51" s="209"/>
      <c r="P51" s="209"/>
      <c r="Q51" s="209"/>
      <c r="R51" s="99"/>
    </row>
    <row r="52" spans="2:18">
      <c r="G52" s="209"/>
      <c r="H52" s="209"/>
      <c r="I52" s="209"/>
      <c r="J52" s="209"/>
      <c r="K52" s="209"/>
      <c r="L52" s="209"/>
      <c r="M52" s="209"/>
      <c r="N52" s="209"/>
      <c r="O52" s="209"/>
      <c r="P52" s="209"/>
      <c r="Q52" s="209"/>
      <c r="R52" s="99"/>
    </row>
    <row r="53" spans="2:18">
      <c r="G53" s="209"/>
      <c r="H53" s="209"/>
      <c r="I53" s="209"/>
      <c r="J53" s="209"/>
      <c r="K53" s="209"/>
      <c r="L53" s="209"/>
      <c r="M53" s="209"/>
      <c r="N53" s="209"/>
      <c r="O53" s="209"/>
      <c r="P53" s="209"/>
      <c r="Q53" s="209"/>
      <c r="R53" s="99"/>
    </row>
    <row r="54" spans="2:18">
      <c r="G54" s="209"/>
      <c r="H54" s="209"/>
      <c r="I54" s="209"/>
      <c r="J54" s="209"/>
      <c r="K54" s="209"/>
      <c r="L54" s="209"/>
      <c r="M54" s="209"/>
      <c r="N54" s="209"/>
      <c r="O54" s="209"/>
      <c r="P54" s="209"/>
      <c r="Q54" s="209"/>
      <c r="R54" s="99"/>
    </row>
    <row r="55" spans="2:18">
      <c r="G55" s="209"/>
      <c r="H55" s="209"/>
      <c r="I55" s="209"/>
      <c r="J55" s="209"/>
      <c r="K55" s="209"/>
      <c r="L55" s="209"/>
      <c r="M55" s="209"/>
      <c r="N55" s="209"/>
      <c r="O55" s="209"/>
      <c r="P55" s="209"/>
      <c r="Q55" s="209"/>
      <c r="R55" s="99"/>
    </row>
    <row r="56" spans="2:18">
      <c r="G56" s="209"/>
      <c r="H56" s="209"/>
      <c r="I56" s="209"/>
      <c r="J56" s="209"/>
      <c r="K56" s="209"/>
      <c r="L56" s="209"/>
      <c r="M56" s="209"/>
      <c r="N56" s="209"/>
      <c r="O56" s="209"/>
      <c r="P56" s="209"/>
      <c r="Q56" s="209"/>
      <c r="R56" s="99"/>
    </row>
    <row r="57" spans="2:18">
      <c r="G57" s="209"/>
      <c r="H57" s="209"/>
      <c r="I57" s="209"/>
      <c r="J57" s="209"/>
      <c r="K57" s="209"/>
      <c r="L57" s="209"/>
      <c r="M57" s="209"/>
      <c r="N57" s="209"/>
      <c r="O57" s="209"/>
      <c r="P57" s="209"/>
      <c r="Q57" s="209"/>
      <c r="R57" s="99"/>
    </row>
    <row r="58" spans="2:18">
      <c r="G58" s="209"/>
      <c r="H58" s="209"/>
      <c r="I58" s="209"/>
      <c r="J58" s="209"/>
      <c r="K58" s="209"/>
      <c r="L58" s="209"/>
      <c r="M58" s="209"/>
      <c r="N58" s="209"/>
      <c r="O58" s="209"/>
      <c r="P58" s="209"/>
      <c r="Q58" s="209"/>
      <c r="R58" s="99"/>
    </row>
    <row r="59" spans="2:18">
      <c r="G59" s="209"/>
      <c r="H59" s="209"/>
      <c r="I59" s="209"/>
      <c r="J59" s="209"/>
      <c r="K59" s="209"/>
      <c r="L59" s="209"/>
      <c r="M59" s="209"/>
      <c r="N59" s="209"/>
      <c r="O59" s="209"/>
      <c r="P59" s="209"/>
      <c r="Q59" s="209"/>
      <c r="R59" s="99"/>
    </row>
    <row r="60" spans="2:18">
      <c r="G60" s="209"/>
      <c r="H60" s="209"/>
      <c r="I60" s="209"/>
      <c r="J60" s="209"/>
      <c r="K60" s="209"/>
      <c r="L60" s="209"/>
      <c r="M60" s="209"/>
      <c r="N60" s="209"/>
      <c r="O60" s="209"/>
      <c r="P60" s="209"/>
      <c r="Q60" s="209"/>
      <c r="R60" s="99"/>
    </row>
    <row r="61" spans="2:18">
      <c r="G61" s="209"/>
      <c r="H61" s="209"/>
      <c r="I61" s="209"/>
      <c r="J61" s="209"/>
      <c r="K61" s="209"/>
      <c r="L61" s="209"/>
      <c r="M61" s="209"/>
      <c r="N61" s="209"/>
      <c r="O61" s="209"/>
      <c r="P61" s="209"/>
      <c r="Q61" s="209"/>
      <c r="R61" s="99"/>
    </row>
    <row r="62" spans="2:18">
      <c r="G62" s="209"/>
      <c r="H62" s="209"/>
      <c r="I62" s="209"/>
      <c r="J62" s="209"/>
      <c r="K62" s="209"/>
      <c r="L62" s="209"/>
      <c r="M62" s="209"/>
      <c r="N62" s="209"/>
      <c r="O62" s="209"/>
      <c r="P62" s="209"/>
      <c r="Q62" s="209"/>
      <c r="R62" s="99"/>
    </row>
    <row r="63" spans="2:18">
      <c r="G63" s="209"/>
      <c r="H63" s="209"/>
      <c r="I63" s="209"/>
      <c r="J63" s="209"/>
      <c r="K63" s="209"/>
      <c r="L63" s="209"/>
      <c r="M63" s="209"/>
      <c r="N63" s="209"/>
      <c r="O63" s="209"/>
      <c r="P63" s="209"/>
      <c r="Q63" s="209"/>
      <c r="R63" s="99"/>
    </row>
    <row r="64" spans="2:18">
      <c r="G64" s="209"/>
      <c r="H64" s="209"/>
      <c r="I64" s="209"/>
      <c r="J64" s="209"/>
      <c r="K64" s="209"/>
      <c r="L64" s="209"/>
      <c r="M64" s="209"/>
      <c r="N64" s="209"/>
      <c r="O64" s="209"/>
      <c r="P64" s="209"/>
      <c r="Q64" s="209"/>
      <c r="R64" s="99"/>
    </row>
    <row r="65" spans="7:18">
      <c r="G65" s="209"/>
      <c r="H65" s="209"/>
      <c r="I65" s="209"/>
      <c r="J65" s="209"/>
      <c r="K65" s="209"/>
      <c r="L65" s="209"/>
      <c r="M65" s="209"/>
      <c r="N65" s="209"/>
      <c r="O65" s="209"/>
      <c r="P65" s="209"/>
      <c r="Q65" s="209"/>
      <c r="R65" s="99"/>
    </row>
    <row r="66" spans="7:18">
      <c r="G66" s="209"/>
      <c r="H66" s="209"/>
      <c r="I66" s="209"/>
      <c r="J66" s="209"/>
      <c r="K66" s="209"/>
      <c r="L66" s="209"/>
      <c r="M66" s="209"/>
      <c r="N66" s="209"/>
      <c r="O66" s="209"/>
      <c r="P66" s="209"/>
      <c r="Q66" s="209"/>
      <c r="R66" s="99"/>
    </row>
    <row r="70" spans="7:18" ht="15.75">
      <c r="G70" s="243"/>
      <c r="H70" s="99"/>
      <c r="I70" s="99"/>
      <c r="J70" s="99"/>
      <c r="K70" s="99"/>
      <c r="L70" s="99"/>
      <c r="M70" s="99"/>
      <c r="N70" s="99"/>
      <c r="O70" s="99"/>
      <c r="P70" s="99"/>
      <c r="Q70" s="209"/>
      <c r="R70" s="99"/>
    </row>
    <row r="71" spans="7:18" ht="15.75">
      <c r="G71" s="140"/>
      <c r="H71" s="99"/>
      <c r="I71" s="99"/>
      <c r="J71" s="99"/>
      <c r="K71" s="99"/>
      <c r="L71" s="99"/>
      <c r="M71" s="99"/>
      <c r="N71" s="99"/>
      <c r="O71" s="99"/>
      <c r="P71" s="99"/>
      <c r="Q71" s="99"/>
      <c r="R71" s="99"/>
    </row>
    <row r="72" spans="7:18" ht="15.75">
      <c r="G72" s="140"/>
      <c r="H72" s="99"/>
      <c r="I72" s="99"/>
      <c r="J72" s="99"/>
      <c r="K72" s="99"/>
      <c r="L72" s="99"/>
      <c r="M72" s="99"/>
      <c r="N72" s="99"/>
      <c r="O72" s="99"/>
      <c r="P72" s="99"/>
      <c r="Q72" s="99"/>
      <c r="R72" s="99"/>
    </row>
    <row r="73" spans="7:18" ht="15.75">
      <c r="G73" s="140"/>
      <c r="H73" s="99"/>
      <c r="I73" s="99"/>
      <c r="J73" s="99"/>
      <c r="K73" s="99"/>
      <c r="L73" s="99"/>
      <c r="M73" s="99"/>
      <c r="N73" s="99"/>
      <c r="O73" s="99"/>
      <c r="P73" s="99"/>
      <c r="Q73" s="99"/>
      <c r="R73" s="99"/>
    </row>
    <row r="74" spans="7:18" ht="15.75">
      <c r="G74" s="140"/>
      <c r="H74" s="99"/>
      <c r="I74" s="99"/>
      <c r="J74" s="99"/>
      <c r="K74" s="99"/>
      <c r="L74" s="99"/>
      <c r="M74" s="99"/>
      <c r="N74" s="99"/>
      <c r="O74" s="99"/>
      <c r="P74" s="99"/>
      <c r="Q74" s="99"/>
      <c r="R74" s="99"/>
    </row>
    <row r="75" spans="7:18">
      <c r="G75" s="99"/>
      <c r="H75" s="99"/>
      <c r="I75" s="99"/>
      <c r="J75" s="99"/>
      <c r="K75" s="99"/>
      <c r="L75" s="99"/>
      <c r="M75" s="99"/>
      <c r="N75" s="99"/>
      <c r="O75" s="99"/>
      <c r="P75" s="99"/>
      <c r="Q75" s="99"/>
      <c r="R75" s="99"/>
    </row>
    <row r="76" spans="7:18">
      <c r="G76" s="99"/>
      <c r="H76" s="99"/>
      <c r="I76" s="99"/>
      <c r="J76" s="99"/>
      <c r="K76" s="99"/>
      <c r="L76" s="99"/>
      <c r="M76" s="99"/>
      <c r="N76" s="99"/>
      <c r="O76" s="99"/>
      <c r="P76" s="99"/>
      <c r="Q76" s="99"/>
      <c r="R76" s="99"/>
    </row>
    <row r="77" spans="7:18">
      <c r="G77" s="99"/>
      <c r="H77" s="99"/>
      <c r="I77" s="99"/>
      <c r="J77" s="99"/>
      <c r="K77" s="99"/>
      <c r="L77" s="99"/>
      <c r="M77" s="99"/>
      <c r="N77" s="99"/>
      <c r="O77" s="99"/>
      <c r="P77" s="99"/>
      <c r="Q77" s="99"/>
      <c r="R77" s="99"/>
    </row>
    <row r="78" spans="7:18">
      <c r="G78" s="99"/>
      <c r="H78" s="99"/>
      <c r="I78" s="99"/>
      <c r="J78" s="99"/>
      <c r="K78" s="99"/>
      <c r="L78" s="99"/>
      <c r="M78" s="99"/>
      <c r="N78" s="99"/>
      <c r="O78" s="99"/>
      <c r="P78" s="99"/>
      <c r="Q78" s="99"/>
      <c r="R78" s="99"/>
    </row>
    <row r="79" spans="7:18">
      <c r="G79" s="99"/>
      <c r="H79" s="99"/>
      <c r="I79" s="99"/>
      <c r="J79" s="99"/>
      <c r="K79" s="99"/>
      <c r="L79" s="99"/>
      <c r="M79" s="99"/>
      <c r="N79" s="99"/>
      <c r="O79" s="99"/>
      <c r="P79" s="99"/>
      <c r="Q79" s="99"/>
      <c r="R79" s="99"/>
    </row>
    <row r="80" spans="7:18">
      <c r="G80" s="99"/>
      <c r="H80" s="99"/>
      <c r="I80" s="99"/>
      <c r="J80" s="99"/>
      <c r="K80" s="99"/>
      <c r="L80" s="99"/>
      <c r="M80" s="99"/>
      <c r="N80" s="99"/>
      <c r="O80" s="99"/>
      <c r="P80" s="99"/>
      <c r="Q80" s="99"/>
      <c r="R80" s="99"/>
    </row>
    <row r="81" spans="7:18">
      <c r="G81" s="99"/>
      <c r="H81" s="99"/>
      <c r="I81" s="99"/>
      <c r="J81" s="99"/>
      <c r="K81" s="99"/>
      <c r="L81" s="99"/>
      <c r="M81" s="99"/>
      <c r="N81" s="99"/>
      <c r="O81" s="99"/>
      <c r="P81" s="99"/>
      <c r="Q81" s="99"/>
      <c r="R81" s="99"/>
    </row>
    <row r="82" spans="7:18">
      <c r="G82" s="99"/>
      <c r="H82" s="99"/>
      <c r="I82" s="99"/>
      <c r="J82" s="99"/>
      <c r="K82" s="99"/>
      <c r="L82" s="99"/>
      <c r="M82" s="99"/>
      <c r="N82" s="99"/>
      <c r="O82" s="99"/>
      <c r="P82" s="99"/>
      <c r="Q82" s="99"/>
      <c r="R82" s="99"/>
    </row>
    <row r="83" spans="7:18">
      <c r="G83" s="99"/>
      <c r="H83" s="99"/>
      <c r="I83" s="99"/>
      <c r="J83" s="99"/>
      <c r="K83" s="99"/>
      <c r="L83" s="99"/>
      <c r="M83" s="99"/>
      <c r="N83" s="99"/>
      <c r="O83" s="99"/>
      <c r="P83" s="99"/>
      <c r="Q83" s="99"/>
      <c r="R83" s="99"/>
    </row>
    <row r="84" spans="7:18">
      <c r="G84" s="99"/>
      <c r="H84" s="99"/>
      <c r="I84" s="99"/>
      <c r="J84" s="99"/>
      <c r="K84" s="99"/>
      <c r="L84" s="99"/>
      <c r="M84" s="99"/>
      <c r="N84" s="99"/>
      <c r="O84" s="99"/>
      <c r="P84" s="99"/>
      <c r="Q84" s="99"/>
      <c r="R84" s="99"/>
    </row>
    <row r="85" spans="7:18">
      <c r="G85" s="99"/>
      <c r="H85" s="99"/>
      <c r="I85" s="99"/>
      <c r="J85" s="99"/>
      <c r="K85" s="99"/>
      <c r="L85" s="99"/>
      <c r="M85" s="99"/>
      <c r="N85" s="99"/>
      <c r="O85" s="99"/>
      <c r="P85" s="99"/>
      <c r="Q85" s="99"/>
      <c r="R85" s="99"/>
    </row>
    <row r="86" spans="7:18">
      <c r="G86" s="99"/>
      <c r="H86" s="99"/>
      <c r="I86" s="99"/>
      <c r="J86" s="99"/>
      <c r="K86" s="99"/>
      <c r="L86" s="99"/>
      <c r="M86" s="99"/>
      <c r="N86" s="99"/>
      <c r="O86" s="99"/>
      <c r="P86" s="99"/>
      <c r="Q86" s="99"/>
      <c r="R86" s="99"/>
    </row>
    <row r="87" spans="7:18">
      <c r="G87" s="99"/>
      <c r="H87" s="99"/>
      <c r="I87" s="99"/>
      <c r="J87" s="99"/>
      <c r="K87" s="99"/>
      <c r="L87" s="99"/>
      <c r="M87" s="99"/>
      <c r="N87" s="99"/>
      <c r="O87" s="99"/>
      <c r="P87" s="99"/>
      <c r="Q87" s="99"/>
      <c r="R87" s="99"/>
    </row>
    <row r="88" spans="7:18">
      <c r="G88" s="99"/>
      <c r="H88" s="99"/>
      <c r="I88" s="99"/>
      <c r="J88" s="99"/>
      <c r="K88" s="99"/>
      <c r="L88" s="99"/>
      <c r="M88" s="99"/>
      <c r="N88" s="99"/>
      <c r="O88" s="99"/>
      <c r="P88" s="99"/>
      <c r="Q88" s="99"/>
      <c r="R88" s="99"/>
    </row>
    <row r="89" spans="7:18">
      <c r="G89" s="99"/>
      <c r="H89" s="99"/>
      <c r="I89" s="99"/>
      <c r="J89" s="99"/>
      <c r="K89" s="99"/>
      <c r="L89" s="99"/>
      <c r="M89" s="99"/>
      <c r="N89" s="99"/>
      <c r="O89" s="99"/>
      <c r="P89" s="99"/>
      <c r="Q89" s="99"/>
      <c r="R89" s="99"/>
    </row>
    <row r="90" spans="7:18">
      <c r="G90" s="99"/>
      <c r="H90" s="99"/>
      <c r="I90" s="99"/>
      <c r="J90" s="99"/>
      <c r="K90" s="99"/>
      <c r="L90" s="99"/>
      <c r="M90" s="99"/>
      <c r="N90" s="99"/>
      <c r="O90" s="99"/>
      <c r="P90" s="99"/>
      <c r="Q90" s="99"/>
      <c r="R90" s="99"/>
    </row>
    <row r="91" spans="7:18">
      <c r="G91" s="99"/>
      <c r="H91" s="99"/>
      <c r="I91" s="99"/>
      <c r="J91" s="99"/>
      <c r="K91" s="99"/>
      <c r="L91" s="99"/>
      <c r="M91" s="99"/>
      <c r="N91" s="99"/>
      <c r="O91" s="99"/>
      <c r="P91" s="99"/>
      <c r="Q91" s="99"/>
      <c r="R91" s="99"/>
    </row>
    <row r="92" spans="7:18">
      <c r="G92" s="99"/>
      <c r="H92" s="99"/>
      <c r="I92" s="99"/>
      <c r="J92" s="99"/>
      <c r="K92" s="99"/>
      <c r="L92" s="99"/>
      <c r="M92" s="99"/>
      <c r="N92" s="99"/>
      <c r="O92" s="99"/>
      <c r="P92" s="99"/>
      <c r="Q92" s="99"/>
      <c r="R92" s="99"/>
    </row>
    <row r="93" spans="7:18">
      <c r="G93" s="99"/>
      <c r="H93" s="99"/>
      <c r="I93" s="99"/>
      <c r="J93" s="99"/>
      <c r="K93" s="99"/>
      <c r="L93" s="99"/>
      <c r="M93" s="99"/>
      <c r="N93" s="99"/>
      <c r="O93" s="99"/>
      <c r="P93" s="99"/>
      <c r="Q93" s="99"/>
      <c r="R93" s="99"/>
    </row>
    <row r="94" spans="7:18">
      <c r="G94" s="99"/>
      <c r="H94" s="99"/>
      <c r="I94" s="99"/>
      <c r="J94" s="99"/>
      <c r="K94" s="99"/>
      <c r="L94" s="99"/>
      <c r="M94" s="99"/>
      <c r="N94" s="99"/>
      <c r="O94" s="99"/>
      <c r="P94" s="99"/>
      <c r="Q94" s="99"/>
      <c r="R94" s="99"/>
    </row>
    <row r="95" spans="7:18">
      <c r="G95" s="99"/>
      <c r="H95" s="99"/>
      <c r="I95" s="99"/>
      <c r="J95" s="99"/>
      <c r="K95" s="99"/>
      <c r="L95" s="99"/>
      <c r="M95" s="99"/>
      <c r="N95" s="99"/>
      <c r="O95" s="99"/>
      <c r="P95" s="99"/>
      <c r="Q95" s="99"/>
      <c r="R95" s="99"/>
    </row>
    <row r="96" spans="7:18">
      <c r="G96" s="99"/>
      <c r="H96" s="99"/>
      <c r="I96" s="99"/>
      <c r="J96" s="99"/>
      <c r="K96" s="99"/>
      <c r="L96" s="99"/>
      <c r="M96" s="99"/>
      <c r="N96" s="99"/>
      <c r="O96" s="99"/>
      <c r="P96" s="99"/>
      <c r="Q96" s="99"/>
      <c r="R96" s="99"/>
    </row>
    <row r="97" spans="7:18">
      <c r="G97" s="99"/>
      <c r="H97" s="99"/>
      <c r="I97" s="99"/>
      <c r="J97" s="99"/>
      <c r="K97" s="99"/>
      <c r="L97" s="99"/>
      <c r="M97" s="99"/>
      <c r="N97" s="99"/>
      <c r="O97" s="99"/>
      <c r="P97" s="99"/>
      <c r="Q97" s="99"/>
      <c r="R97" s="99"/>
    </row>
    <row r="98" spans="7:18">
      <c r="G98" s="209"/>
      <c r="H98" s="99"/>
      <c r="I98" s="99"/>
      <c r="J98" s="99"/>
      <c r="K98" s="99"/>
      <c r="L98" s="99"/>
      <c r="M98" s="99"/>
      <c r="N98" s="99"/>
      <c r="O98" s="99"/>
      <c r="P98" s="99"/>
      <c r="Q98" s="209"/>
      <c r="R98" s="99"/>
    </row>
  </sheetData>
  <mergeCells count="25">
    <mergeCell ref="K31:T31"/>
    <mergeCell ref="C21:E21"/>
    <mergeCell ref="C22:E22"/>
    <mergeCell ref="K14:L14"/>
    <mergeCell ref="K15:L15"/>
    <mergeCell ref="K16:L16"/>
    <mergeCell ref="K17:L17"/>
    <mergeCell ref="K18:L18"/>
    <mergeCell ref="K19:L19"/>
    <mergeCell ref="M33:P33"/>
    <mergeCell ref="Q33:T33"/>
    <mergeCell ref="C2:E2"/>
    <mergeCell ref="K2:L2"/>
    <mergeCell ref="C10:E10"/>
    <mergeCell ref="K13:L13"/>
    <mergeCell ref="C11:E11"/>
    <mergeCell ref="C12:E12"/>
    <mergeCell ref="C13:E13"/>
    <mergeCell ref="C14:E14"/>
    <mergeCell ref="C15:E15"/>
    <mergeCell ref="C16:E16"/>
    <mergeCell ref="C17:E17"/>
    <mergeCell ref="C18:E18"/>
    <mergeCell ref="C19:E19"/>
    <mergeCell ref="C20:E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Well Completion SN-2600</vt:lpstr>
      <vt:lpstr>Evaluasi ESP</vt:lpstr>
      <vt:lpstr>IPR</vt:lpstr>
      <vt:lpstr>Gas Calculation </vt:lpstr>
      <vt:lpstr>Pump Sizing</vt:lpstr>
      <vt:lpstr>Optimasi Stage</vt:lpstr>
      <vt:lpstr>Nodal</vt:lpstr>
      <vt:lpstr>Optimasi Frekuensi 1</vt:lpstr>
      <vt:lpstr>Optimasi Frekuensi (P3)</vt:lpstr>
      <vt:lpstr>Frekuensi dulu</vt:lpstr>
      <vt:lpstr>Kurva Frekuensi</vt:lpstr>
      <vt:lpstr>SV Calculation</vt:lpstr>
      <vt:lpstr>Transformer Calculation</vt:lpstr>
      <vt:lpstr>VSD Calculation</vt:lpstr>
      <vt:lpstr>Hasil Perbandingan</vt:lpstr>
      <vt:lpstr>Re-design</vt:lpstr>
      <vt:lpstr>Analisa Ekonomi (Daqing)</vt:lpstr>
      <vt:lpstr>Analisa Ekonomi (Reda)</vt:lpstr>
      <vt:lpstr>'Analisa Ekonomi (Daqing)'!Print_Area</vt:lpstr>
      <vt:lpstr>'Analisa Ekonomi (Reda)'!Print_Area</vt:lpstr>
      <vt:lpstr>'Gas Calculation '!Print_Area</vt:lpstr>
      <vt:lpstr>'Pump Sizing'!Print_Area</vt:lpstr>
      <vt:lpstr>'Re-design'!Print_Area</vt:lpstr>
      <vt:lpstr>'SV Calculation'!Print_Area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nendri</dc:creator>
  <cp:lastModifiedBy>Natal R Batubara</cp:lastModifiedBy>
  <dcterms:created xsi:type="dcterms:W3CDTF">2019-07-03T02:02:54Z</dcterms:created>
  <dcterms:modified xsi:type="dcterms:W3CDTF">2021-04-12T14:41:43Z</dcterms:modified>
</cp:coreProperties>
</file>